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2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  <sheet name="лист" sheetId="12" r:id="rId12"/>
    <sheet name="груд" sheetId="13" r:id="rId13"/>
  </sheets>
  <definedNames>
    <definedName name="_xlnm.Print_Area" localSheetId="3">'бер'!$A$1:$AG$99</definedName>
    <definedName name="_xlnm.Print_Area" localSheetId="9">'вер'!$A$1:$AG$99</definedName>
    <definedName name="_xlnm.Print_Area" localSheetId="12">'груд'!$A$1:$AG$99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11">'лист'!$A$1:$AG$99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<sst xmlns="http://schemas.openxmlformats.org/spreadsheetml/2006/main" count="1352" uniqueCount="78">
  <si>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</si>
  <si>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</si>
  <si>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</si>
  <si>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</si>
  <si>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</si>
  <si>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</si>
  <si>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</si>
  <si>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</si>
  <si>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</si>
  <si>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</si>
  <si>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</si>
  <si>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</si>
  <si>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</si>
  <si>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</si>
  <si>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</si>
  <si>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</si>
  <si>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</si>
  <si>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</si>
  <si>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</si>
  <si>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</si>
  <si>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</si>
  <si>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</si>
  <si>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</si>
  <si>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</si>
  <si>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</si>
  <si>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</si>
  <si>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</si>
  <si>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</si>
  <si>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</si>
  <si>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</si>
  <si>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</si>
  <si>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</si>
  <si>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</si>
  <si>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</si>
  <si>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</si>
  <si>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</si>
  <si>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</si>
  <si>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</si>
  <si>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</si>
  <si>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</si>
  <si>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</si>
  <si>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</si>
  <si>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</si>
  <si>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</si>
  <si>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</si>
  <si>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</si>
  <si>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</si>
  <si>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</si>
  <si>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</si>
  <si>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</si>
  <si>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</si>
  <si>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</si>
  <si>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</si>
  <si>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</si>
  <si>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</si>
  <si>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</si>
  <si>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</si>
  <si>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</si>
  <si>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</si>
  <si>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</si>
  <si>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</si>
  <si>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</si>
  <si>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</si>
  <si>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</si>
  <si>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</si>
  <si>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</si>
  <si>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</si>
  <si>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</si>
  <si>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</si>
  <si>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</si>
  <si>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</si>
  <si>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</si>
  <si>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</si>
  <si>
    <t>Субвенція обласному бюджету (250380)</t>
  </si>
  <si>
    <t>по міському бюджету м.Черкаси у ЛИСТОПАДІ 2016 р.</t>
  </si>
  <si>
    <t>надійшло доходів/план видатків
 на листопад</t>
  </si>
  <si>
    <t>по міському бюджету м.Черкаси у ГРУДНІ 2016 р.</t>
  </si>
  <si>
    <t>надійшло доходів/план видатків
 на грудень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</si>
</sst>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3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E9" sqref="AE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1716.7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>
        <v>1716.7</v>
      </c>
      <c r="W5" s="46"/>
      <c r="X5" s="47"/>
      <c r="Y5" s="47"/>
      <c r="Z5" s="47"/>
      <c r="AA5" s="47"/>
      <c r="AB5" s="47"/>
      <c r="AC5" s="46"/>
      <c r="AD5" s="46"/>
      <c r="AE5" s="72">
        <v>1716.7</v>
      </c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21185.5</v>
      </c>
      <c r="D7" s="45"/>
      <c r="E7" s="46">
        <v>15204.5</v>
      </c>
      <c r="F7" s="46"/>
      <c r="G7" s="46"/>
      <c r="H7" s="74"/>
      <c r="I7" s="46"/>
      <c r="J7" s="47"/>
      <c r="K7" s="46">
        <v>15204.6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23500.3</v>
      </c>
      <c r="AF7" s="72"/>
      <c r="AG7" s="48"/>
    </row>
    <row r="8" spans="1:55" ht="18" customHeight="1">
      <c r="A8" s="60" t="s">
        <v>34</v>
      </c>
      <c r="B8" s="40">
        <f>SUM(D8:AB8)</f>
        <v>96057.40000000001</v>
      </c>
      <c r="C8" s="40">
        <f>76182.8-7575.4</f>
        <v>68607.40000000001</v>
      </c>
      <c r="D8" s="43">
        <v>7575.4</v>
      </c>
      <c r="E8" s="55">
        <v>4850.5</v>
      </c>
      <c r="F8" s="55">
        <v>2443.8</v>
      </c>
      <c r="G8" s="55">
        <v>3100.8</v>
      </c>
      <c r="H8" s="55">
        <v>3337.6</v>
      </c>
      <c r="I8" s="55">
        <v>5459.4</v>
      </c>
      <c r="J8" s="56">
        <v>3003.5</v>
      </c>
      <c r="K8" s="55">
        <v>1395.5</v>
      </c>
      <c r="L8" s="55">
        <v>1981.9</v>
      </c>
      <c r="M8" s="55">
        <v>7622.7</v>
      </c>
      <c r="N8" s="55">
        <v>2900.1</v>
      </c>
      <c r="O8" s="55">
        <v>3637.8</v>
      </c>
      <c r="P8" s="55">
        <v>3699.5</v>
      </c>
      <c r="Q8" s="55">
        <v>4436.9</v>
      </c>
      <c r="R8" s="55">
        <v>4930.2</v>
      </c>
      <c r="S8" s="57">
        <v>3637.8</v>
      </c>
      <c r="T8" s="57">
        <v>5010.3</v>
      </c>
      <c r="U8" s="55">
        <v>3135.8</v>
      </c>
      <c r="V8" s="55">
        <v>7999.8</v>
      </c>
      <c r="W8" s="55">
        <v>15898.1</v>
      </c>
      <c r="X8" s="56"/>
      <c r="Y8" s="56"/>
      <c r="Z8" s="56"/>
      <c r="AA8" s="56"/>
      <c r="AB8" s="55"/>
      <c r="AC8" s="23"/>
      <c r="AD8" s="23"/>
      <c r="AE8" s="61">
        <f>53126.1+146.7</f>
        <v>53272.799999999996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141220.1</v>
      </c>
      <c r="C9" s="24">
        <f t="shared" si="0"/>
        <v>73733.20000000001</v>
      </c>
      <c r="D9" s="24">
        <f t="shared" si="0"/>
        <v>7536.299999999999</v>
      </c>
      <c r="E9" s="24">
        <f t="shared" si="0"/>
        <v>4910.5</v>
      </c>
      <c r="F9" s="24">
        <f t="shared" si="0"/>
        <v>2443.8</v>
      </c>
      <c r="G9" s="24">
        <f t="shared" si="0"/>
        <v>3100.8</v>
      </c>
      <c r="H9" s="24">
        <f t="shared" si="0"/>
        <v>3539.5999999999995</v>
      </c>
      <c r="I9" s="24">
        <f t="shared" si="0"/>
        <v>5461</v>
      </c>
      <c r="J9" s="24">
        <f t="shared" si="0"/>
        <v>20461.7</v>
      </c>
      <c r="K9" s="24">
        <f t="shared" si="0"/>
        <v>1378.3000000000002</v>
      </c>
      <c r="L9" s="24">
        <f t="shared" si="0"/>
        <v>2025.2</v>
      </c>
      <c r="M9" s="24">
        <f t="shared" si="0"/>
        <v>7922</v>
      </c>
      <c r="N9" s="24">
        <f t="shared" si="0"/>
        <v>3173.7999999999997</v>
      </c>
      <c r="O9" s="24">
        <f t="shared" si="0"/>
        <v>3637.8</v>
      </c>
      <c r="P9" s="24">
        <f t="shared" si="0"/>
        <v>3699.5</v>
      </c>
      <c r="Q9" s="24">
        <f t="shared" si="0"/>
        <v>4445.5</v>
      </c>
      <c r="R9" s="24">
        <f t="shared" si="0"/>
        <v>5116.3</v>
      </c>
      <c r="S9" s="24">
        <f t="shared" si="0"/>
        <v>10541.999999999998</v>
      </c>
      <c r="T9" s="24">
        <f t="shared" si="0"/>
        <v>5018.2</v>
      </c>
      <c r="U9" s="24">
        <f t="shared" si="0"/>
        <v>24299.799999999996</v>
      </c>
      <c r="V9" s="24">
        <f t="shared" si="0"/>
        <v>8010.900000000001</v>
      </c>
      <c r="W9" s="24">
        <f t="shared" si="0"/>
        <v>12763.3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139486.30000000002</v>
      </c>
      <c r="AG9" s="50">
        <f>AG10+AG15+AG24+AG33+AG47+AG52+AG54+AG61+AG62+AG71+AG72+AG76+AG88+AG81+AG83+AG82+AG69+AG89+AG91+AG90+AG70+AG40+AG92</f>
        <v>75467.00000000006</v>
      </c>
      <c r="AH9" s="49"/>
      <c r="AI9" s="49"/>
    </row>
    <row r="10" spans="1:33" ht="15.75">
      <c r="A10" s="4" t="s">
        <v>4</v>
      </c>
      <c r="B10" s="22">
        <f>4421.5+150.3</f>
        <v>4571.8</v>
      </c>
      <c r="C10" s="22">
        <v>4068.9</v>
      </c>
      <c r="D10" s="22"/>
      <c r="E10" s="22">
        <v>59.9</v>
      </c>
      <c r="F10" s="22">
        <v>78.1</v>
      </c>
      <c r="G10" s="22">
        <v>46.1</v>
      </c>
      <c r="H10" s="22">
        <v>71</v>
      </c>
      <c r="I10" s="22">
        <v>112.8</v>
      </c>
      <c r="J10" s="25">
        <v>550.5</v>
      </c>
      <c r="K10" s="22">
        <v>756.8</v>
      </c>
      <c r="L10" s="22">
        <v>72.8</v>
      </c>
      <c r="M10" s="22">
        <v>27.8</v>
      </c>
      <c r="N10" s="22">
        <v>30.5</v>
      </c>
      <c r="O10" s="27">
        <v>103.3</v>
      </c>
      <c r="P10" s="22">
        <v>46.5</v>
      </c>
      <c r="Q10" s="22">
        <v>25</v>
      </c>
      <c r="R10" s="22">
        <v>15.6</v>
      </c>
      <c r="S10" s="26">
        <v>5.7</v>
      </c>
      <c r="T10" s="26">
        <v>164.2</v>
      </c>
      <c r="U10" s="26">
        <v>1847.8</v>
      </c>
      <c r="V10" s="26">
        <v>521.6</v>
      </c>
      <c r="W10" s="26">
        <v>2.8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4538.8</v>
      </c>
      <c r="AG10" s="27">
        <f>B10+C10-AF10</f>
        <v>4101.900000000001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>
        <v>47.2</v>
      </c>
      <c r="F11" s="22">
        <v>3.7</v>
      </c>
      <c r="G11" s="22">
        <v>44.6</v>
      </c>
      <c r="H11" s="22">
        <v>6.8</v>
      </c>
      <c r="I11" s="22">
        <v>29.2</v>
      </c>
      <c r="J11" s="26">
        <v>525.1</v>
      </c>
      <c r="K11" s="22">
        <v>755.5</v>
      </c>
      <c r="L11" s="22"/>
      <c r="M11" s="22"/>
      <c r="N11" s="22">
        <v>10.1</v>
      </c>
      <c r="O11" s="27"/>
      <c r="P11" s="22">
        <v>5.2</v>
      </c>
      <c r="Q11" s="22"/>
      <c r="R11" s="22"/>
      <c r="S11" s="26"/>
      <c r="T11" s="26"/>
      <c r="U11" s="26">
        <v>1823.3</v>
      </c>
      <c r="V11" s="26">
        <v>518.1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3768.7999999999997</v>
      </c>
      <c r="AG11" s="27">
        <f>B11+C11-AF11</f>
        <v>2068.8000000000006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>
        <v>16.1</v>
      </c>
      <c r="I12" s="22"/>
      <c r="J12" s="26"/>
      <c r="K12" s="22"/>
      <c r="L12" s="22"/>
      <c r="M12" s="22"/>
      <c r="N12" s="22"/>
      <c r="O12" s="27"/>
      <c r="P12" s="22">
        <v>5</v>
      </c>
      <c r="Q12" s="22"/>
      <c r="R12" s="22"/>
      <c r="S12" s="26"/>
      <c r="T12" s="26">
        <v>57.9</v>
      </c>
      <c r="U12" s="26">
        <v>10.9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89.9</v>
      </c>
      <c r="AG12" s="27">
        <f>B12+C12-AF12</f>
        <v>281.5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657.7000000000002</v>
      </c>
      <c r="C14" s="22">
        <f t="shared" si="2"/>
        <v>1774.0000000000002</v>
      </c>
      <c r="D14" s="22">
        <f t="shared" si="2"/>
        <v>0</v>
      </c>
      <c r="E14" s="22">
        <f t="shared" si="2"/>
        <v>12.699999999999996</v>
      </c>
      <c r="F14" s="22">
        <f t="shared" si="2"/>
        <v>74.39999999999999</v>
      </c>
      <c r="G14" s="22">
        <f t="shared" si="2"/>
        <v>1.5</v>
      </c>
      <c r="H14" s="22">
        <f t="shared" si="2"/>
        <v>48.1</v>
      </c>
      <c r="I14" s="22">
        <f t="shared" si="2"/>
        <v>83.6</v>
      </c>
      <c r="J14" s="22">
        <f t="shared" si="2"/>
        <v>25.399999999999977</v>
      </c>
      <c r="K14" s="22">
        <f t="shared" si="2"/>
        <v>1.2999999999999545</v>
      </c>
      <c r="L14" s="22">
        <f t="shared" si="2"/>
        <v>72.8</v>
      </c>
      <c r="M14" s="22">
        <f t="shared" si="2"/>
        <v>27.8</v>
      </c>
      <c r="N14" s="22">
        <f t="shared" si="2"/>
        <v>20.4</v>
      </c>
      <c r="O14" s="22">
        <f t="shared" si="2"/>
        <v>103.3</v>
      </c>
      <c r="P14" s="22">
        <f t="shared" si="2"/>
        <v>36.3</v>
      </c>
      <c r="Q14" s="22">
        <f t="shared" si="2"/>
        <v>25</v>
      </c>
      <c r="R14" s="22">
        <f t="shared" si="2"/>
        <v>15.6</v>
      </c>
      <c r="S14" s="22">
        <f t="shared" si="2"/>
        <v>5.7</v>
      </c>
      <c r="T14" s="22">
        <f t="shared" si="2"/>
        <v>106.29999999999998</v>
      </c>
      <c r="U14" s="22">
        <f t="shared" si="2"/>
        <v>13.6</v>
      </c>
      <c r="V14" s="22">
        <f t="shared" si="2"/>
        <v>3.5</v>
      </c>
      <c r="W14" s="22">
        <f t="shared" si="2"/>
        <v>2.8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680.0999999999999</v>
      </c>
      <c r="AG14" s="27">
        <f>AG10-AG11-AG12-AG13</f>
        <v>1751.6</v>
      </c>
    </row>
    <row r="15" spans="1:33" ht="15" customHeight="1">
      <c r="A15" s="4" t="s">
        <v>6</v>
      </c>
      <c r="B15" s="22">
        <f>39036.7+0.4</f>
        <v>39037.1</v>
      </c>
      <c r="C15" s="22">
        <v>28801.5</v>
      </c>
      <c r="D15" s="44">
        <v>-0.1</v>
      </c>
      <c r="E15" s="44"/>
      <c r="F15" s="22">
        <v>131.4</v>
      </c>
      <c r="G15" s="22"/>
      <c r="H15" s="22">
        <v>895.9</v>
      </c>
      <c r="I15" s="22">
        <v>137.6</v>
      </c>
      <c r="J15" s="26">
        <v>11043.7</v>
      </c>
      <c r="K15" s="22"/>
      <c r="L15" s="22">
        <v>2.9</v>
      </c>
      <c r="M15" s="22"/>
      <c r="N15" s="22">
        <v>239.3</v>
      </c>
      <c r="O15" s="27">
        <v>1315.8</v>
      </c>
      <c r="P15" s="22"/>
      <c r="Q15" s="27">
        <v>278.4</v>
      </c>
      <c r="R15" s="22">
        <v>2025.4</v>
      </c>
      <c r="S15" s="26">
        <v>693.8</v>
      </c>
      <c r="T15" s="26">
        <v>268.2</v>
      </c>
      <c r="U15" s="26">
        <v>17968.9</v>
      </c>
      <c r="V15" s="26">
        <v>60.5</v>
      </c>
      <c r="W15" s="26">
        <v>5.3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35067</v>
      </c>
      <c r="AG15" s="27">
        <f aca="true" t="shared" si="3" ref="AG15:AG31">B15+C15-AF15</f>
        <v>32771.600000000006</v>
      </c>
    </row>
    <row r="16" spans="1:34" s="70" customFormat="1" ht="15" customHeight="1">
      <c r="A16" s="65" t="s">
        <v>46</v>
      </c>
      <c r="B16" s="66">
        <f>14490.1-0.1</f>
        <v>14490</v>
      </c>
      <c r="C16" s="66">
        <v>12746.5</v>
      </c>
      <c r="D16" s="67">
        <v>-0.1</v>
      </c>
      <c r="E16" s="67"/>
      <c r="F16" s="66"/>
      <c r="G16" s="66"/>
      <c r="H16" s="66"/>
      <c r="I16" s="66">
        <v>54.6</v>
      </c>
      <c r="J16" s="68">
        <v>5818.7</v>
      </c>
      <c r="K16" s="66"/>
      <c r="L16" s="66"/>
      <c r="M16" s="66"/>
      <c r="N16" s="66">
        <v>239.3</v>
      </c>
      <c r="O16" s="69"/>
      <c r="P16" s="66"/>
      <c r="Q16" s="69"/>
      <c r="R16" s="66">
        <v>186.1</v>
      </c>
      <c r="S16" s="68">
        <v>5.5</v>
      </c>
      <c r="T16" s="68">
        <v>5.7</v>
      </c>
      <c r="U16" s="68">
        <v>7312.3</v>
      </c>
      <c r="V16" s="68">
        <v>1</v>
      </c>
      <c r="W16" s="68">
        <v>0.4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13623.5</v>
      </c>
      <c r="AG16" s="71">
        <f t="shared" si="3"/>
        <v>13613</v>
      </c>
      <c r="AH16" s="75"/>
    </row>
    <row r="17" spans="1:34" ht="15.75">
      <c r="A17" s="3" t="s">
        <v>5</v>
      </c>
      <c r="B17" s="22">
        <f>26751.7+70.1</f>
        <v>26821.8</v>
      </c>
      <c r="C17" s="22">
        <v>3358.1</v>
      </c>
      <c r="D17" s="22">
        <v>-0.1</v>
      </c>
      <c r="E17" s="22"/>
      <c r="F17" s="22"/>
      <c r="G17" s="22"/>
      <c r="H17" s="22">
        <v>7.7</v>
      </c>
      <c r="I17" s="22"/>
      <c r="J17" s="26">
        <v>10883.1</v>
      </c>
      <c r="K17" s="22"/>
      <c r="L17" s="22"/>
      <c r="M17" s="22"/>
      <c r="N17" s="22"/>
      <c r="O17" s="27">
        <v>8.3</v>
      </c>
      <c r="P17" s="22"/>
      <c r="Q17" s="27"/>
      <c r="R17" s="22"/>
      <c r="S17" s="26"/>
      <c r="T17" s="26"/>
      <c r="U17" s="26">
        <v>17919.7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28818.7</v>
      </c>
      <c r="AG17" s="27">
        <f t="shared" si="3"/>
        <v>1361.199999999997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>
        <v>0.5</v>
      </c>
      <c r="J18" s="26"/>
      <c r="K18" s="22"/>
      <c r="L18" s="22"/>
      <c r="M18" s="22"/>
      <c r="N18" s="22">
        <v>2.5</v>
      </c>
      <c r="O18" s="27"/>
      <c r="P18" s="22"/>
      <c r="Q18" s="27"/>
      <c r="R18" s="22">
        <v>7.6</v>
      </c>
      <c r="S18" s="26"/>
      <c r="T18" s="26"/>
      <c r="U18" s="26"/>
      <c r="V18" s="26">
        <v>1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11.6</v>
      </c>
      <c r="AG18" s="27">
        <f t="shared" si="3"/>
        <v>25.1</v>
      </c>
    </row>
    <row r="19" spans="1:33" ht="15.75">
      <c r="A19" s="3" t="s">
        <v>1</v>
      </c>
      <c r="B19" s="22">
        <f>3431.3+0.9</f>
        <v>3432.2000000000003</v>
      </c>
      <c r="C19" s="22">
        <v>3802.6</v>
      </c>
      <c r="D19" s="22"/>
      <c r="E19" s="22"/>
      <c r="F19" s="22"/>
      <c r="G19" s="22"/>
      <c r="H19" s="22">
        <v>637.5</v>
      </c>
      <c r="I19" s="22">
        <v>6.7</v>
      </c>
      <c r="J19" s="26">
        <v>100.8</v>
      </c>
      <c r="K19" s="22"/>
      <c r="L19" s="22"/>
      <c r="M19" s="22"/>
      <c r="N19" s="22">
        <v>14.8</v>
      </c>
      <c r="O19" s="27">
        <v>555.4</v>
      </c>
      <c r="P19" s="22"/>
      <c r="Q19" s="27">
        <v>278.4</v>
      </c>
      <c r="R19" s="22">
        <v>619.6</v>
      </c>
      <c r="S19" s="26">
        <v>549.6</v>
      </c>
      <c r="T19" s="26">
        <v>169.5</v>
      </c>
      <c r="U19" s="26">
        <v>46.7</v>
      </c>
      <c r="V19" s="26">
        <v>56.8</v>
      </c>
      <c r="W19" s="26">
        <v>3.8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3039.6</v>
      </c>
      <c r="AG19" s="27">
        <f t="shared" si="3"/>
        <v>4195.200000000001</v>
      </c>
    </row>
    <row r="20" spans="1:33" ht="15.75">
      <c r="A20" s="3" t="s">
        <v>2</v>
      </c>
      <c r="B20" s="22">
        <f>6360.4-70.1</f>
        <v>6290.299999999999</v>
      </c>
      <c r="C20" s="22">
        <v>16244.9</v>
      </c>
      <c r="D20" s="22"/>
      <c r="E20" s="22"/>
      <c r="F20" s="22">
        <v>52</v>
      </c>
      <c r="G20" s="22"/>
      <c r="H20" s="22">
        <v>231</v>
      </c>
      <c r="I20" s="22">
        <v>36.6</v>
      </c>
      <c r="J20" s="26">
        <v>1.5</v>
      </c>
      <c r="K20" s="22"/>
      <c r="L20" s="22"/>
      <c r="M20" s="22"/>
      <c r="N20" s="22">
        <v>156.4</v>
      </c>
      <c r="O20" s="27">
        <v>221.8</v>
      </c>
      <c r="P20" s="22"/>
      <c r="Q20" s="27"/>
      <c r="R20" s="22">
        <v>673.5</v>
      </c>
      <c r="S20" s="26">
        <v>1.7</v>
      </c>
      <c r="T20" s="26">
        <v>0.7</v>
      </c>
      <c r="U20" s="26">
        <v>0.5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1375.7</v>
      </c>
      <c r="AG20" s="27">
        <f t="shared" si="3"/>
        <v>21159.499999999996</v>
      </c>
    </row>
    <row r="21" spans="1:33" ht="15.75">
      <c r="A21" s="3" t="s">
        <v>17</v>
      </c>
      <c r="B21" s="22">
        <v>1414.6</v>
      </c>
      <c r="C21" s="22">
        <v>1246.5</v>
      </c>
      <c r="D21" s="22"/>
      <c r="E21" s="22"/>
      <c r="F21" s="22"/>
      <c r="G21" s="22"/>
      <c r="H21" s="22"/>
      <c r="I21" s="22">
        <v>5.4</v>
      </c>
      <c r="J21" s="26"/>
      <c r="K21" s="22"/>
      <c r="L21" s="22"/>
      <c r="M21" s="22"/>
      <c r="N21" s="22"/>
      <c r="O21" s="27">
        <v>349.9</v>
      </c>
      <c r="P21" s="22"/>
      <c r="Q21" s="27"/>
      <c r="R21" s="22">
        <v>499</v>
      </c>
      <c r="S21" s="26">
        <v>136.9</v>
      </c>
      <c r="T21" s="26">
        <v>32.5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1023.6999999999999</v>
      </c>
      <c r="AG21" s="27">
        <f t="shared" si="3"/>
        <v>1637.4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1069.7999999999997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79.4</v>
      </c>
      <c r="G23" s="22">
        <f t="shared" si="4"/>
        <v>0</v>
      </c>
      <c r="H23" s="22">
        <f t="shared" si="4"/>
        <v>19.699999999999932</v>
      </c>
      <c r="I23" s="22">
        <f t="shared" si="4"/>
        <v>88.4</v>
      </c>
      <c r="J23" s="22">
        <f t="shared" si="4"/>
        <v>58.30000000000037</v>
      </c>
      <c r="K23" s="22">
        <f t="shared" si="4"/>
        <v>0</v>
      </c>
      <c r="L23" s="22">
        <f t="shared" si="4"/>
        <v>2.9</v>
      </c>
      <c r="M23" s="22">
        <f t="shared" si="4"/>
        <v>0</v>
      </c>
      <c r="N23" s="22">
        <f t="shared" si="4"/>
        <v>65.6</v>
      </c>
      <c r="O23" s="22">
        <f t="shared" si="4"/>
        <v>180.39999999999998</v>
      </c>
      <c r="P23" s="22">
        <f t="shared" si="4"/>
        <v>0</v>
      </c>
      <c r="Q23" s="22">
        <f t="shared" si="4"/>
        <v>0</v>
      </c>
      <c r="R23" s="22">
        <f t="shared" si="4"/>
        <v>225.70000000000027</v>
      </c>
      <c r="S23" s="22">
        <f t="shared" si="4"/>
        <v>5.5999999999999375</v>
      </c>
      <c r="T23" s="22">
        <f t="shared" si="4"/>
        <v>65.49999999999999</v>
      </c>
      <c r="U23" s="22">
        <f t="shared" si="4"/>
        <v>2.0000000000007248</v>
      </c>
      <c r="V23" s="22">
        <f t="shared" si="4"/>
        <v>2.700000000000003</v>
      </c>
      <c r="W23" s="22">
        <f t="shared" si="4"/>
        <v>1.5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797.7000000000012</v>
      </c>
      <c r="AG23" s="27">
        <f t="shared" si="3"/>
        <v>4393.200000000003</v>
      </c>
    </row>
    <row r="24" spans="1:33" ht="15" customHeight="1">
      <c r="A24" s="4" t="s">
        <v>7</v>
      </c>
      <c r="B24" s="22">
        <v>20906.7</v>
      </c>
      <c r="C24" s="22">
        <v>13682.1</v>
      </c>
      <c r="D24" s="22"/>
      <c r="E24" s="22"/>
      <c r="F24" s="22"/>
      <c r="G24" s="22"/>
      <c r="H24" s="22">
        <v>179.9</v>
      </c>
      <c r="I24" s="22"/>
      <c r="J24" s="26">
        <v>6951.5</v>
      </c>
      <c r="K24" s="22"/>
      <c r="L24" s="22">
        <f>211.7+3.3</f>
        <v>215</v>
      </c>
      <c r="M24" s="22">
        <v>299.4</v>
      </c>
      <c r="N24" s="22">
        <v>5</v>
      </c>
      <c r="O24" s="27"/>
      <c r="P24" s="22"/>
      <c r="Q24" s="27">
        <v>52.8</v>
      </c>
      <c r="R24" s="27"/>
      <c r="S24" s="26">
        <v>6881.4</v>
      </c>
      <c r="T24" s="26">
        <v>4006.9</v>
      </c>
      <c r="U24" s="26">
        <v>52.5</v>
      </c>
      <c r="V24" s="26">
        <v>0.7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18645.100000000002</v>
      </c>
      <c r="AG24" s="27">
        <f t="shared" si="3"/>
        <v>15943.7</v>
      </c>
    </row>
    <row r="25" spans="1:34" s="70" customFormat="1" ht="15" customHeight="1">
      <c r="A25" s="65" t="s">
        <v>47</v>
      </c>
      <c r="B25" s="66">
        <f>15919+2.3</f>
        <v>15921.3</v>
      </c>
      <c r="C25" s="66">
        <v>8097.5</v>
      </c>
      <c r="D25" s="66"/>
      <c r="E25" s="66"/>
      <c r="F25" s="66"/>
      <c r="G25" s="66"/>
      <c r="H25" s="66">
        <v>179.9</v>
      </c>
      <c r="I25" s="66"/>
      <c r="J25" s="68">
        <v>6951.5</v>
      </c>
      <c r="K25" s="66"/>
      <c r="L25" s="66">
        <v>3.3</v>
      </c>
      <c r="M25" s="66">
        <v>299.4</v>
      </c>
      <c r="N25" s="66">
        <v>5</v>
      </c>
      <c r="O25" s="69"/>
      <c r="P25" s="66"/>
      <c r="Q25" s="69"/>
      <c r="R25" s="69"/>
      <c r="S25" s="68">
        <v>6881.4</v>
      </c>
      <c r="T25" s="68">
        <v>9.8</v>
      </c>
      <c r="U25" s="68">
        <v>11.6</v>
      </c>
      <c r="V25" s="68">
        <v>0.5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14342.4</v>
      </c>
      <c r="AG25" s="71">
        <f t="shared" si="3"/>
        <v>9676.4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>
        <v>6252.1</v>
      </c>
      <c r="K26" s="22"/>
      <c r="L26" s="22">
        <v>3.3</v>
      </c>
      <c r="M26" s="22"/>
      <c r="N26" s="22"/>
      <c r="O26" s="27"/>
      <c r="P26" s="22"/>
      <c r="Q26" s="27"/>
      <c r="R26" s="22"/>
      <c r="S26" s="26">
        <v>5936.1</v>
      </c>
      <c r="T26" s="26">
        <v>3370.3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15561.8</v>
      </c>
      <c r="AG26" s="27">
        <f t="shared" si="3"/>
        <v>1814.1000000000022</v>
      </c>
      <c r="AH26" s="6"/>
    </row>
    <row r="27" spans="1:33" ht="15.75">
      <c r="A27" s="3" t="s">
        <v>3</v>
      </c>
      <c r="B27" s="22">
        <v>1484.4</v>
      </c>
      <c r="C27" s="22">
        <v>2327.5</v>
      </c>
      <c r="D27" s="22"/>
      <c r="E27" s="22"/>
      <c r="F27" s="22"/>
      <c r="G27" s="22"/>
      <c r="H27" s="22">
        <v>1</v>
      </c>
      <c r="I27" s="22"/>
      <c r="J27" s="26">
        <v>217</v>
      </c>
      <c r="K27" s="22"/>
      <c r="L27" s="22">
        <v>189.1</v>
      </c>
      <c r="M27" s="22">
        <v>64.2</v>
      </c>
      <c r="N27" s="22"/>
      <c r="O27" s="27"/>
      <c r="P27" s="22"/>
      <c r="Q27" s="27">
        <v>52.8</v>
      </c>
      <c r="R27" s="22"/>
      <c r="S27" s="26">
        <v>268.3</v>
      </c>
      <c r="T27" s="26">
        <v>247.3</v>
      </c>
      <c r="U27" s="26">
        <v>5.2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1044.9</v>
      </c>
      <c r="AG27" s="27">
        <f t="shared" si="3"/>
        <v>2767</v>
      </c>
    </row>
    <row r="28" spans="1:33" ht="15.75">
      <c r="A28" s="3" t="s">
        <v>1</v>
      </c>
      <c r="B28" s="22">
        <f>536.3-16</f>
        <v>520.3</v>
      </c>
      <c r="C28" s="22">
        <v>24.7</v>
      </c>
      <c r="D28" s="22"/>
      <c r="E28" s="22"/>
      <c r="F28" s="22"/>
      <c r="G28" s="22"/>
      <c r="H28" s="22"/>
      <c r="I28" s="22"/>
      <c r="J28" s="26">
        <v>70.1</v>
      </c>
      <c r="K28" s="22"/>
      <c r="L28" s="22"/>
      <c r="M28" s="22">
        <v>97.5</v>
      </c>
      <c r="N28" s="22"/>
      <c r="O28" s="27"/>
      <c r="P28" s="22"/>
      <c r="Q28" s="27"/>
      <c r="R28" s="22"/>
      <c r="S28" s="26">
        <v>141.1</v>
      </c>
      <c r="T28" s="26">
        <v>197.6</v>
      </c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506.29999999999995</v>
      </c>
      <c r="AG28" s="27">
        <f t="shared" si="3"/>
        <v>38.700000000000045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>
        <v>18.1</v>
      </c>
      <c r="I29" s="22"/>
      <c r="J29" s="26">
        <v>333.9</v>
      </c>
      <c r="K29" s="22"/>
      <c r="L29" s="22"/>
      <c r="M29" s="22">
        <v>6.4</v>
      </c>
      <c r="N29" s="22"/>
      <c r="O29" s="27"/>
      <c r="P29" s="22"/>
      <c r="Q29" s="27"/>
      <c r="R29" s="22"/>
      <c r="S29" s="26">
        <v>365.2</v>
      </c>
      <c r="T29" s="26">
        <v>149.9</v>
      </c>
      <c r="U29" s="26">
        <v>2.3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875.7999999999998</v>
      </c>
      <c r="AG29" s="27">
        <f t="shared" si="3"/>
        <v>4308.2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>
        <v>18.6</v>
      </c>
      <c r="K30" s="22"/>
      <c r="L30" s="22"/>
      <c r="M30" s="22">
        <v>90</v>
      </c>
      <c r="N30" s="22">
        <v>2.2</v>
      </c>
      <c r="O30" s="27"/>
      <c r="P30" s="22"/>
      <c r="Q30" s="27"/>
      <c r="R30" s="22"/>
      <c r="S30" s="26">
        <v>13.7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103.1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869.9000000000013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160.8</v>
      </c>
      <c r="I32" s="22">
        <f t="shared" si="5"/>
        <v>0</v>
      </c>
      <c r="J32" s="22">
        <f t="shared" si="5"/>
        <v>59.799999999999635</v>
      </c>
      <c r="K32" s="22">
        <f t="shared" si="5"/>
        <v>0</v>
      </c>
      <c r="L32" s="22">
        <f t="shared" si="5"/>
        <v>22.599999999999994</v>
      </c>
      <c r="M32" s="22">
        <f t="shared" si="5"/>
        <v>41.29999999999998</v>
      </c>
      <c r="N32" s="22">
        <f t="shared" si="5"/>
        <v>2.8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156.99999999999932</v>
      </c>
      <c r="T32" s="22">
        <f t="shared" si="5"/>
        <v>41.7999999999999</v>
      </c>
      <c r="U32" s="22">
        <f t="shared" si="5"/>
        <v>45</v>
      </c>
      <c r="V32" s="22">
        <f t="shared" si="5"/>
        <v>0.7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531.7999999999989</v>
      </c>
      <c r="AG32" s="27">
        <f>AG24-AG26-AG27-AG28-AG29-AG30-AG31</f>
        <v>6912.599999999998</v>
      </c>
    </row>
    <row r="33" spans="1:33" ht="15" customHeight="1">
      <c r="A33" s="4" t="s">
        <v>8</v>
      </c>
      <c r="B33" s="22">
        <v>200.1</v>
      </c>
      <c r="C33" s="22">
        <v>994</v>
      </c>
      <c r="D33" s="22"/>
      <c r="E33" s="22"/>
      <c r="F33" s="22"/>
      <c r="G33" s="22"/>
      <c r="H33" s="22"/>
      <c r="I33" s="22"/>
      <c r="J33" s="26"/>
      <c r="K33" s="22">
        <v>41.9</v>
      </c>
      <c r="L33" s="22"/>
      <c r="M33" s="22">
        <v>0.3</v>
      </c>
      <c r="N33" s="22"/>
      <c r="O33" s="27"/>
      <c r="P33" s="22"/>
      <c r="Q33" s="27">
        <v>9.2</v>
      </c>
      <c r="R33" s="22"/>
      <c r="S33" s="26"/>
      <c r="T33" s="26">
        <v>0.9</v>
      </c>
      <c r="U33" s="26">
        <v>86.5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138.79999999999998</v>
      </c>
      <c r="AG33" s="27">
        <f aca="true" t="shared" si="6" ref="AG33:AG38">B33+C33-AF33</f>
        <v>1055.3</v>
      </c>
    </row>
    <row r="34" spans="1:33" ht="15.75">
      <c r="A34" s="3" t="s">
        <v>5</v>
      </c>
      <c r="B34" s="22">
        <f>129.7+1</f>
        <v>130.7</v>
      </c>
      <c r="C34" s="22">
        <v>30.9</v>
      </c>
      <c r="D34" s="22"/>
      <c r="E34" s="22"/>
      <c r="F34" s="22"/>
      <c r="G34" s="22"/>
      <c r="H34" s="22"/>
      <c r="I34" s="22"/>
      <c r="J34" s="26"/>
      <c r="K34" s="22">
        <v>41.9</v>
      </c>
      <c r="L34" s="22"/>
      <c r="M34" s="22"/>
      <c r="N34" s="22"/>
      <c r="O34" s="22"/>
      <c r="P34" s="22"/>
      <c r="Q34" s="27"/>
      <c r="R34" s="22"/>
      <c r="S34" s="26"/>
      <c r="T34" s="26"/>
      <c r="U34" s="26">
        <v>86.5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128.4</v>
      </c>
      <c r="AG34" s="27">
        <f t="shared" si="6"/>
        <v>33.19999999999999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f>61.3</f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>
        <v>5.5</v>
      </c>
      <c r="R36" s="22"/>
      <c r="S36" s="26"/>
      <c r="T36" s="26">
        <v>0.2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5.7</v>
      </c>
      <c r="AG36" s="27">
        <f t="shared" si="6"/>
        <v>228.90000000000003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8.100000000000009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0.3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3.6999999999999993</v>
      </c>
      <c r="R39" s="22">
        <f t="shared" si="7"/>
        <v>0</v>
      </c>
      <c r="S39" s="22">
        <f t="shared" si="7"/>
        <v>0</v>
      </c>
      <c r="T39" s="22">
        <f t="shared" si="7"/>
        <v>0.7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4.699999999999999</v>
      </c>
      <c r="AG39" s="27">
        <f>AG33-AG34-AG36-AG38-AG35-AG37</f>
        <v>36.29999999999984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>
        <v>242</v>
      </c>
      <c r="K40" s="22">
        <v>0.2</v>
      </c>
      <c r="L40" s="22"/>
      <c r="M40" s="22"/>
      <c r="N40" s="22"/>
      <c r="O40" s="27"/>
      <c r="P40" s="22"/>
      <c r="Q40" s="27">
        <v>6.6</v>
      </c>
      <c r="R40" s="27"/>
      <c r="S40" s="26">
        <v>3.4</v>
      </c>
      <c r="T40" s="26">
        <v>1</v>
      </c>
      <c r="U40" s="26">
        <v>383.3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636.5</v>
      </c>
      <c r="AG40" s="27">
        <f aca="true" t="shared" si="8" ref="AG40:AG45">B40+C40-AF40</f>
        <v>154.29999999999995</v>
      </c>
    </row>
    <row r="41" spans="1:34" ht="15.75">
      <c r="A41" s="3" t="s">
        <v>5</v>
      </c>
      <c r="B41" s="22">
        <f>569.9-0.1</f>
        <v>569.8</v>
      </c>
      <c r="C41" s="22">
        <v>78</v>
      </c>
      <c r="D41" s="22"/>
      <c r="E41" s="22"/>
      <c r="F41" s="22"/>
      <c r="G41" s="22"/>
      <c r="H41" s="22"/>
      <c r="I41" s="22"/>
      <c r="J41" s="26">
        <v>213.9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>
        <v>383.3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597.2</v>
      </c>
      <c r="AG41" s="27">
        <f t="shared" si="8"/>
        <v>50.59999999999991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7+0.1</f>
        <v>7.1</v>
      </c>
      <c r="C43" s="22">
        <v>3.9</v>
      </c>
      <c r="D43" s="22"/>
      <c r="E43" s="22"/>
      <c r="F43" s="22"/>
      <c r="G43" s="22"/>
      <c r="H43" s="22"/>
      <c r="I43" s="22"/>
      <c r="J43" s="26">
        <v>6.4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4.6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>
        <v>0.6</v>
      </c>
      <c r="K44" s="22"/>
      <c r="L44" s="22"/>
      <c r="M44" s="22"/>
      <c r="N44" s="22"/>
      <c r="O44" s="27"/>
      <c r="P44" s="22"/>
      <c r="Q44" s="22">
        <v>5.1</v>
      </c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5.699999999999999</v>
      </c>
      <c r="AG44" s="27">
        <f t="shared" si="8"/>
        <v>63.7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27.10000000000003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21.099999999999994</v>
      </c>
      <c r="K46" s="22">
        <f t="shared" si="10"/>
        <v>0.2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1.5</v>
      </c>
      <c r="R46" s="22">
        <f t="shared" si="10"/>
        <v>0</v>
      </c>
      <c r="S46" s="22">
        <f t="shared" si="10"/>
        <v>3.4</v>
      </c>
      <c r="T46" s="22">
        <f t="shared" si="10"/>
        <v>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27.199999999999992</v>
      </c>
      <c r="AG46" s="27">
        <f>AG40-AG41-AG42-AG43-AG44-AG45</f>
        <v>35.40000000000005</v>
      </c>
    </row>
    <row r="47" spans="1:33" ht="17.25" customHeight="1">
      <c r="A47" s="4" t="s">
        <v>70</v>
      </c>
      <c r="B47" s="36">
        <f>821.9+6</f>
        <v>827.9</v>
      </c>
      <c r="C47" s="22">
        <f>1983.8-139.1</f>
        <v>1844.7</v>
      </c>
      <c r="D47" s="22"/>
      <c r="E47" s="28">
        <v>10.7</v>
      </c>
      <c r="F47" s="28">
        <v>20.3</v>
      </c>
      <c r="G47" s="28">
        <v>13</v>
      </c>
      <c r="H47" s="28"/>
      <c r="I47" s="28">
        <v>179</v>
      </c>
      <c r="J47" s="29">
        <v>16.4</v>
      </c>
      <c r="K47" s="28"/>
      <c r="L47" s="28"/>
      <c r="M47" s="28">
        <v>2</v>
      </c>
      <c r="N47" s="28"/>
      <c r="O47" s="31">
        <v>1.8</v>
      </c>
      <c r="P47" s="28"/>
      <c r="Q47" s="28">
        <v>74.8</v>
      </c>
      <c r="R47" s="28">
        <v>3.8</v>
      </c>
      <c r="S47" s="29">
        <v>60.7</v>
      </c>
      <c r="T47" s="29">
        <v>62.9</v>
      </c>
      <c r="U47" s="28">
        <v>61.1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506.5</v>
      </c>
      <c r="AG47" s="27">
        <f>B47+C47-AF47</f>
        <v>2166.1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>
        <v>16.3</v>
      </c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16.3</v>
      </c>
      <c r="AG48" s="27">
        <f>B48+C48-AF48</f>
        <v>15.2</v>
      </c>
    </row>
    <row r="49" spans="1:33" ht="15.75">
      <c r="A49" s="3" t="s">
        <v>17</v>
      </c>
      <c r="B49" s="22">
        <f>669+6.2</f>
        <v>675.2</v>
      </c>
      <c r="C49" s="22">
        <v>1285.2</v>
      </c>
      <c r="D49" s="22"/>
      <c r="E49" s="22"/>
      <c r="F49" s="22">
        <v>1.8</v>
      </c>
      <c r="G49" s="22"/>
      <c r="H49" s="22"/>
      <c r="I49" s="22">
        <v>178.8</v>
      </c>
      <c r="J49" s="26">
        <v>16.4</v>
      </c>
      <c r="K49" s="22"/>
      <c r="L49" s="22"/>
      <c r="M49" s="22">
        <v>2</v>
      </c>
      <c r="N49" s="22"/>
      <c r="O49" s="27">
        <v>1.8</v>
      </c>
      <c r="P49" s="22"/>
      <c r="Q49" s="22">
        <v>69.8</v>
      </c>
      <c r="R49" s="22">
        <v>3.8</v>
      </c>
      <c r="S49" s="26">
        <v>60.7</v>
      </c>
      <c r="T49" s="26">
        <v>13.3</v>
      </c>
      <c r="U49" s="22">
        <v>54.1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402.50000000000006</v>
      </c>
      <c r="AG49" s="27">
        <f>B49+C49-AF49</f>
        <v>1557.9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121.49999999999989</v>
      </c>
      <c r="C51" s="22">
        <f t="shared" si="11"/>
        <v>559.2</v>
      </c>
      <c r="D51" s="22">
        <f t="shared" si="11"/>
        <v>0</v>
      </c>
      <c r="E51" s="22">
        <f t="shared" si="11"/>
        <v>10.7</v>
      </c>
      <c r="F51" s="22">
        <f t="shared" si="11"/>
        <v>2.2</v>
      </c>
      <c r="G51" s="22">
        <f t="shared" si="11"/>
        <v>13</v>
      </c>
      <c r="H51" s="22">
        <f t="shared" si="11"/>
        <v>0</v>
      </c>
      <c r="I51" s="22">
        <f t="shared" si="11"/>
        <v>0.19999999999998863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5</v>
      </c>
      <c r="R51" s="22">
        <f t="shared" si="11"/>
        <v>0</v>
      </c>
      <c r="S51" s="22">
        <f t="shared" si="11"/>
        <v>0</v>
      </c>
      <c r="T51" s="22">
        <f t="shared" si="11"/>
        <v>49.599999999999994</v>
      </c>
      <c r="U51" s="22">
        <f t="shared" si="11"/>
        <v>7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87.69999999999999</v>
      </c>
      <c r="AG51" s="27">
        <f>AG47-AG49-AG48</f>
        <v>592.9999999999998</v>
      </c>
    </row>
    <row r="52" spans="1:33" ht="15" customHeight="1">
      <c r="A52" s="4" t="s">
        <v>0</v>
      </c>
      <c r="B52" s="22">
        <f>5255.7+250+500-0.2</f>
        <v>6005.5</v>
      </c>
      <c r="C52" s="22">
        <v>3223.9</v>
      </c>
      <c r="D52" s="22"/>
      <c r="E52" s="22">
        <v>2528.3</v>
      </c>
      <c r="F52" s="22">
        <v>1004.6</v>
      </c>
      <c r="G52" s="22"/>
      <c r="H52" s="22">
        <v>206.7</v>
      </c>
      <c r="I52" s="22">
        <v>0.8</v>
      </c>
      <c r="J52" s="26">
        <v>96.1</v>
      </c>
      <c r="K52" s="22"/>
      <c r="L52" s="22">
        <v>194.7</v>
      </c>
      <c r="M52" s="22"/>
      <c r="N52" s="22">
        <v>14.8</v>
      </c>
      <c r="O52" s="27"/>
      <c r="P52" s="22">
        <v>157.3</v>
      </c>
      <c r="Q52" s="22">
        <v>441.3</v>
      </c>
      <c r="R52" s="22">
        <v>104.7</v>
      </c>
      <c r="S52" s="26">
        <v>123.9</v>
      </c>
      <c r="T52" s="26">
        <v>144.5</v>
      </c>
      <c r="U52" s="26">
        <v>1256.9</v>
      </c>
      <c r="V52" s="26"/>
      <c r="W52" s="26">
        <v>-146.7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6127.900000000001</v>
      </c>
      <c r="AG52" s="27">
        <f aca="true" t="shared" si="12" ref="AG52:AG59">B52+C52-AF52</f>
        <v>3101.499999999999</v>
      </c>
    </row>
    <row r="53" spans="1:33" ht="15" customHeight="1">
      <c r="A53" s="3" t="s">
        <v>2</v>
      </c>
      <c r="B53" s="22">
        <v>985.4</v>
      </c>
      <c r="C53" s="22">
        <v>610.3</v>
      </c>
      <c r="D53" s="22"/>
      <c r="E53" s="22"/>
      <c r="F53" s="22">
        <v>517.7</v>
      </c>
      <c r="G53" s="22"/>
      <c r="H53" s="22">
        <v>29.4</v>
      </c>
      <c r="I53" s="22"/>
      <c r="J53" s="26"/>
      <c r="K53" s="22"/>
      <c r="L53" s="22">
        <v>13.1</v>
      </c>
      <c r="M53" s="22"/>
      <c r="N53" s="22">
        <v>5</v>
      </c>
      <c r="O53" s="27"/>
      <c r="P53" s="22"/>
      <c r="Q53" s="22"/>
      <c r="R53" s="22"/>
      <c r="S53" s="26">
        <v>72.5</v>
      </c>
      <c r="T53" s="26">
        <v>64.2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701.9000000000001</v>
      </c>
      <c r="AG53" s="27">
        <f t="shared" si="12"/>
        <v>893.7999999999997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>
        <v>120.9</v>
      </c>
      <c r="F54" s="22">
        <v>152.8</v>
      </c>
      <c r="G54" s="22">
        <v>6.6</v>
      </c>
      <c r="H54" s="22">
        <v>6</v>
      </c>
      <c r="I54" s="22"/>
      <c r="J54" s="26">
        <v>1422.9</v>
      </c>
      <c r="K54" s="22"/>
      <c r="L54" s="22">
        <v>3.8</v>
      </c>
      <c r="M54" s="22">
        <v>0.2</v>
      </c>
      <c r="N54" s="22">
        <v>60.7</v>
      </c>
      <c r="O54" s="27">
        <v>4.5</v>
      </c>
      <c r="P54" s="22">
        <v>56.1</v>
      </c>
      <c r="Q54" s="27">
        <v>22.2</v>
      </c>
      <c r="R54" s="22">
        <v>23.9</v>
      </c>
      <c r="S54" s="26">
        <v>19.9</v>
      </c>
      <c r="T54" s="26">
        <v>0.3</v>
      </c>
      <c r="U54" s="26">
        <v>1776.6</v>
      </c>
      <c r="V54" s="26">
        <v>10.6</v>
      </c>
      <c r="W54" s="26">
        <v>0.3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3688.3000000000006</v>
      </c>
      <c r="AG54" s="22">
        <f t="shared" si="12"/>
        <v>2424.899999999999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>
        <v>1421.2</v>
      </c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1707.9</v>
      </c>
      <c r="V55" s="26"/>
      <c r="W55" s="26">
        <v>0.3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3129.4000000000005</v>
      </c>
      <c r="AG55" s="22">
        <f t="shared" si="12"/>
        <v>754.9999999999991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>
        <v>1.8</v>
      </c>
      <c r="F57" s="22">
        <v>0.3</v>
      </c>
      <c r="G57" s="22">
        <v>0.2</v>
      </c>
      <c r="H57" s="22">
        <v>5.6</v>
      </c>
      <c r="I57" s="22"/>
      <c r="J57" s="26"/>
      <c r="K57" s="22"/>
      <c r="L57" s="22"/>
      <c r="M57" s="22"/>
      <c r="N57" s="22"/>
      <c r="O57" s="27">
        <v>0.9</v>
      </c>
      <c r="P57" s="22">
        <v>0.7</v>
      </c>
      <c r="Q57" s="27">
        <v>0.3</v>
      </c>
      <c r="R57" s="22">
        <v>11.3</v>
      </c>
      <c r="S57" s="26">
        <v>12</v>
      </c>
      <c r="T57" s="26">
        <v>0.3</v>
      </c>
      <c r="U57" s="26">
        <v>0.7</v>
      </c>
      <c r="V57" s="26">
        <v>3.1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37.2</v>
      </c>
      <c r="AG57" s="22">
        <f t="shared" si="12"/>
        <v>896.3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4.8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4.8</v>
      </c>
      <c r="AG58" s="22">
        <f t="shared" si="12"/>
        <v>10.3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119.10000000000001</v>
      </c>
      <c r="F60" s="22">
        <f t="shared" si="13"/>
        <v>152.5</v>
      </c>
      <c r="G60" s="22">
        <f t="shared" si="13"/>
        <v>6.3999999999999995</v>
      </c>
      <c r="H60" s="22">
        <f t="shared" si="13"/>
        <v>0.40000000000000036</v>
      </c>
      <c r="I60" s="22">
        <f t="shared" si="13"/>
        <v>0</v>
      </c>
      <c r="J60" s="22">
        <f t="shared" si="13"/>
        <v>1.7000000000000455</v>
      </c>
      <c r="K60" s="22">
        <f t="shared" si="13"/>
        <v>0</v>
      </c>
      <c r="L60" s="22">
        <f t="shared" si="13"/>
        <v>3.8</v>
      </c>
      <c r="M60" s="22">
        <f t="shared" si="13"/>
        <v>0.2</v>
      </c>
      <c r="N60" s="22">
        <f t="shared" si="13"/>
        <v>60.7</v>
      </c>
      <c r="O60" s="22">
        <f t="shared" si="13"/>
        <v>3.6</v>
      </c>
      <c r="P60" s="22">
        <f t="shared" si="13"/>
        <v>55.4</v>
      </c>
      <c r="Q60" s="22">
        <f t="shared" si="13"/>
        <v>21.9</v>
      </c>
      <c r="R60" s="22">
        <f t="shared" si="13"/>
        <v>7.799999999999998</v>
      </c>
      <c r="S60" s="22">
        <f t="shared" si="13"/>
        <v>7.899999999999999</v>
      </c>
      <c r="T60" s="22">
        <f t="shared" si="13"/>
        <v>0</v>
      </c>
      <c r="U60" s="22">
        <f t="shared" si="13"/>
        <v>67.99999999999982</v>
      </c>
      <c r="V60" s="22">
        <f t="shared" si="13"/>
        <v>7.5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516.9000000000001</v>
      </c>
      <c r="AG60" s="22">
        <f>AG54-AG55-AG57-AG59-AG56-AG58</f>
        <v>763.3000000000002</v>
      </c>
    </row>
    <row r="61" spans="1:33" ht="15" customHeight="1">
      <c r="A61" s="4" t="s">
        <v>10</v>
      </c>
      <c r="B61" s="22">
        <f>150+103</f>
        <v>253</v>
      </c>
      <c r="C61" s="22">
        <v>254.3</v>
      </c>
      <c r="D61" s="22"/>
      <c r="E61" s="22">
        <v>44.2</v>
      </c>
      <c r="F61" s="22">
        <v>12</v>
      </c>
      <c r="G61" s="22">
        <v>12.3</v>
      </c>
      <c r="H61" s="22">
        <v>28.6</v>
      </c>
      <c r="I61" s="22">
        <v>7.7</v>
      </c>
      <c r="J61" s="26">
        <v>3</v>
      </c>
      <c r="K61" s="22">
        <v>7.3</v>
      </c>
      <c r="L61" s="22">
        <v>6.3</v>
      </c>
      <c r="M61" s="22"/>
      <c r="N61" s="22">
        <v>20.4</v>
      </c>
      <c r="O61" s="27"/>
      <c r="P61" s="22">
        <v>6</v>
      </c>
      <c r="Q61" s="27">
        <v>23.8</v>
      </c>
      <c r="R61" s="22">
        <v>26.5</v>
      </c>
      <c r="S61" s="26"/>
      <c r="T61" s="26">
        <v>12</v>
      </c>
      <c r="U61" s="26">
        <v>34.6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244.7</v>
      </c>
      <c r="AG61" s="22">
        <f aca="true" t="shared" si="15" ref="AG61:AG67">B61+C61-AF61</f>
        <v>262.6</v>
      </c>
    </row>
    <row r="62" spans="1:33" ht="15" customHeight="1">
      <c r="A62" s="4" t="s">
        <v>11</v>
      </c>
      <c r="B62" s="22">
        <v>1281.8</v>
      </c>
      <c r="C62" s="22">
        <v>1597.4</v>
      </c>
      <c r="D62" s="22"/>
      <c r="E62" s="22">
        <v>0.4</v>
      </c>
      <c r="F62" s="22"/>
      <c r="G62" s="22">
        <v>39</v>
      </c>
      <c r="H62" s="22">
        <v>2</v>
      </c>
      <c r="I62" s="22"/>
      <c r="J62" s="26"/>
      <c r="K62" s="22">
        <v>396.8</v>
      </c>
      <c r="L62" s="22">
        <v>40</v>
      </c>
      <c r="M62" s="22"/>
      <c r="N62" s="22"/>
      <c r="O62" s="27">
        <v>53.9</v>
      </c>
      <c r="P62" s="22"/>
      <c r="Q62" s="27">
        <v>27.4</v>
      </c>
      <c r="R62" s="22">
        <v>23.9</v>
      </c>
      <c r="S62" s="26"/>
      <c r="T62" s="26">
        <v>106.1</v>
      </c>
      <c r="U62" s="26">
        <v>676.8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1366.3</v>
      </c>
      <c r="AG62" s="22">
        <f t="shared" si="15"/>
        <v>1512.8999999999999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>
        <v>314.4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656.2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970.6</v>
      </c>
      <c r="AG63" s="22">
        <f t="shared" si="15"/>
        <v>250.19999999999993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f>31.6</f>
        <v>31.6</v>
      </c>
      <c r="C65" s="22">
        <v>56.8</v>
      </c>
      <c r="D65" s="22"/>
      <c r="E65" s="22"/>
      <c r="F65" s="22"/>
      <c r="G65" s="22">
        <v>1.3</v>
      </c>
      <c r="H65" s="22"/>
      <c r="I65" s="22"/>
      <c r="J65" s="26"/>
      <c r="K65" s="22">
        <v>5.3</v>
      </c>
      <c r="L65" s="22"/>
      <c r="M65" s="22"/>
      <c r="N65" s="22"/>
      <c r="O65" s="27">
        <v>15.2</v>
      </c>
      <c r="P65" s="22"/>
      <c r="Q65" s="27">
        <v>5.8</v>
      </c>
      <c r="R65" s="22">
        <v>4.4</v>
      </c>
      <c r="S65" s="26"/>
      <c r="T65" s="26"/>
      <c r="U65" s="26">
        <v>8.4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40.4</v>
      </c>
      <c r="AG65" s="22">
        <f t="shared" si="15"/>
        <v>48.00000000000001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>
        <v>0.4</v>
      </c>
      <c r="H66" s="22"/>
      <c r="I66" s="22"/>
      <c r="J66" s="26"/>
      <c r="K66" s="22">
        <v>0.9</v>
      </c>
      <c r="L66" s="22"/>
      <c r="M66" s="22"/>
      <c r="N66" s="22"/>
      <c r="O66" s="27">
        <v>0.3</v>
      </c>
      <c r="P66" s="22"/>
      <c r="Q66" s="22">
        <v>11.5</v>
      </c>
      <c r="R66" s="22">
        <v>1.7</v>
      </c>
      <c r="S66" s="26"/>
      <c r="T66" s="26">
        <v>0.6</v>
      </c>
      <c r="U66" s="26">
        <v>0.8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16.2</v>
      </c>
      <c r="AG66" s="22">
        <f t="shared" si="15"/>
        <v>248.60000000000002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364.4</v>
      </c>
      <c r="C68" s="22">
        <f t="shared" si="16"/>
        <v>894.8000000000002</v>
      </c>
      <c r="D68" s="22">
        <f t="shared" si="16"/>
        <v>0</v>
      </c>
      <c r="E68" s="22">
        <f t="shared" si="16"/>
        <v>0.4</v>
      </c>
      <c r="F68" s="22">
        <f t="shared" si="16"/>
        <v>0</v>
      </c>
      <c r="G68" s="22">
        <f t="shared" si="16"/>
        <v>37.300000000000004</v>
      </c>
      <c r="H68" s="22">
        <f t="shared" si="16"/>
        <v>2</v>
      </c>
      <c r="I68" s="22">
        <f t="shared" si="16"/>
        <v>0</v>
      </c>
      <c r="J68" s="22">
        <f t="shared" si="16"/>
        <v>0</v>
      </c>
      <c r="K68" s="22">
        <f t="shared" si="16"/>
        <v>76.20000000000003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38.400000000000006</v>
      </c>
      <c r="P68" s="22">
        <f t="shared" si="16"/>
        <v>0</v>
      </c>
      <c r="Q68" s="22">
        <f t="shared" si="16"/>
        <v>10.099999999999998</v>
      </c>
      <c r="R68" s="22">
        <f t="shared" si="16"/>
        <v>17.799999999999997</v>
      </c>
      <c r="S68" s="22">
        <f t="shared" si="16"/>
        <v>0</v>
      </c>
      <c r="T68" s="22">
        <f t="shared" si="16"/>
        <v>105.5</v>
      </c>
      <c r="U68" s="22">
        <f t="shared" si="16"/>
        <v>11.399999999999908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299.09999999999997</v>
      </c>
      <c r="AG68" s="22">
        <f>AG62-AG63-AG66-AG67-AG65-AG64</f>
        <v>960.0999999999998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>
        <v>1858.9</v>
      </c>
      <c r="H69" s="22"/>
      <c r="I69" s="22"/>
      <c r="J69" s="26">
        <v>80.5</v>
      </c>
      <c r="K69" s="22"/>
      <c r="L69" s="22"/>
      <c r="M69" s="22"/>
      <c r="N69" s="22"/>
      <c r="O69" s="22"/>
      <c r="P69" s="22"/>
      <c r="Q69" s="22"/>
      <c r="R69" s="22">
        <v>1043.3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2982.7</v>
      </c>
      <c r="AG69" s="30">
        <f aca="true" t="shared" si="17" ref="AG69:AG92">B69+C69-AF69</f>
        <v>20.800000000000182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921.6-429.7-9-80-19.2-0.3</f>
        <v>383.40000000000003</v>
      </c>
      <c r="C72" s="22">
        <v>3531.8</v>
      </c>
      <c r="D72" s="22"/>
      <c r="E72" s="22">
        <v>79.4</v>
      </c>
      <c r="F72" s="22"/>
      <c r="G72" s="22">
        <v>4.3</v>
      </c>
      <c r="H72" s="22">
        <v>55</v>
      </c>
      <c r="I72" s="22">
        <v>60.5</v>
      </c>
      <c r="J72" s="26">
        <v>8.3</v>
      </c>
      <c r="K72" s="22">
        <v>19.4</v>
      </c>
      <c r="L72" s="22">
        <v>2.9</v>
      </c>
      <c r="M72" s="22">
        <v>1.5</v>
      </c>
      <c r="N72" s="22">
        <v>16.4</v>
      </c>
      <c r="O72" s="22"/>
      <c r="P72" s="22">
        <v>1.7</v>
      </c>
      <c r="Q72" s="27">
        <v>1.6</v>
      </c>
      <c r="R72" s="22">
        <v>5.9</v>
      </c>
      <c r="S72" s="26">
        <v>104.7</v>
      </c>
      <c r="T72" s="26">
        <v>26.2</v>
      </c>
      <c r="U72" s="26">
        <v>9.9</v>
      </c>
      <c r="V72" s="26">
        <v>14.9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412.5999999999999</v>
      </c>
      <c r="AG72" s="30">
        <f t="shared" si="17"/>
        <v>3502.6000000000004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17.7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f>179.8-0.6</f>
        <v>179.20000000000002</v>
      </c>
      <c r="C74" s="22">
        <v>403.9</v>
      </c>
      <c r="D74" s="22"/>
      <c r="E74" s="22">
        <v>29.1</v>
      </c>
      <c r="F74" s="22"/>
      <c r="G74" s="22"/>
      <c r="H74" s="22">
        <v>22.6</v>
      </c>
      <c r="I74" s="22"/>
      <c r="J74" s="26"/>
      <c r="K74" s="22"/>
      <c r="L74" s="22"/>
      <c r="M74" s="22"/>
      <c r="N74" s="22"/>
      <c r="O74" s="22"/>
      <c r="P74" s="22">
        <v>1.7</v>
      </c>
      <c r="Q74" s="27"/>
      <c r="R74" s="22"/>
      <c r="S74" s="26"/>
      <c r="T74" s="26"/>
      <c r="U74" s="26">
        <v>9.9</v>
      </c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63.300000000000004</v>
      </c>
      <c r="AG74" s="30">
        <f t="shared" si="17"/>
        <v>519.8000000000001</v>
      </c>
    </row>
    <row r="75" spans="1:33" ht="15" customHeight="1">
      <c r="A75" s="3" t="s">
        <v>17</v>
      </c>
      <c r="B75" s="22">
        <v>96.3</v>
      </c>
      <c r="C75" s="22">
        <f>450-336.3</f>
        <v>113.69999999999999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207.1</v>
      </c>
    </row>
    <row r="76" spans="1:33" s="11" customFormat="1" ht="31.5">
      <c r="A76" s="12" t="s">
        <v>21</v>
      </c>
      <c r="B76" s="22">
        <v>97.5</v>
      </c>
      <c r="C76" s="22">
        <f>369.6-80</f>
        <v>289.6</v>
      </c>
      <c r="D76" s="22"/>
      <c r="E76" s="28"/>
      <c r="F76" s="28"/>
      <c r="G76" s="28"/>
      <c r="H76" s="28"/>
      <c r="I76" s="28"/>
      <c r="J76" s="29">
        <v>46.8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37.3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84.1</v>
      </c>
      <c r="AG76" s="30">
        <f t="shared" si="17"/>
        <v>303</v>
      </c>
    </row>
    <row r="77" spans="1:33" s="11" customFormat="1" ht="15.75">
      <c r="A77" s="3" t="s">
        <v>5</v>
      </c>
      <c r="B77" s="22">
        <v>77.3</v>
      </c>
      <c r="C77" s="22">
        <v>2.4</v>
      </c>
      <c r="D77" s="22"/>
      <c r="E77" s="28"/>
      <c r="F77" s="28"/>
      <c r="G77" s="28"/>
      <c r="H77" s="28"/>
      <c r="I77" s="28"/>
      <c r="J77" s="29">
        <v>39.2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36.7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75.9</v>
      </c>
      <c r="AG77" s="30">
        <f t="shared" si="17"/>
        <v>3.799999999999997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>
        <v>0.3</v>
      </c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4.000000000000001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154.1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154.1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f>2620+600</f>
        <v>3220</v>
      </c>
      <c r="C88" s="22">
        <v>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3220</v>
      </c>
      <c r="AH88" s="11"/>
    </row>
    <row r="89" spans="1:34" ht="15.75">
      <c r="A89" s="4" t="s">
        <v>45</v>
      </c>
      <c r="B89" s="22">
        <f>2553.5+3264</f>
        <v>5817.5</v>
      </c>
      <c r="C89" s="22">
        <v>2229</v>
      </c>
      <c r="D89" s="22"/>
      <c r="E89" s="22">
        <v>994.1</v>
      </c>
      <c r="F89" s="22">
        <v>165.7</v>
      </c>
      <c r="G89" s="22"/>
      <c r="H89" s="22">
        <v>363.3</v>
      </c>
      <c r="I89" s="22"/>
      <c r="J89" s="22"/>
      <c r="K89" s="22"/>
      <c r="L89" s="22">
        <v>1.9</v>
      </c>
      <c r="M89" s="22"/>
      <c r="N89" s="22">
        <v>102.1</v>
      </c>
      <c r="O89" s="22">
        <v>983.3</v>
      </c>
      <c r="P89" s="22">
        <v>775.9</v>
      </c>
      <c r="Q89" s="22"/>
      <c r="R89" s="22">
        <v>141.6</v>
      </c>
      <c r="S89" s="26"/>
      <c r="T89" s="26">
        <v>225</v>
      </c>
      <c r="U89" s="22">
        <v>107.6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3860.4999999999995</v>
      </c>
      <c r="AG89" s="22">
        <f t="shared" si="17"/>
        <v>4186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>
        <v>805.6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f>54858.3-3514-2494.7-340</f>
        <v>48509.600000000006</v>
      </c>
      <c r="C92" s="22">
        <f>10526.4-55.3</f>
        <v>10471.1</v>
      </c>
      <c r="D92" s="22">
        <f>7515.4+21</f>
        <v>7536.4</v>
      </c>
      <c r="E92" s="22">
        <v>1072.6</v>
      </c>
      <c r="F92" s="22">
        <v>878.9</v>
      </c>
      <c r="G92" s="22">
        <v>1120.6</v>
      </c>
      <c r="H92" s="22">
        <f>1709.1+22.1</f>
        <v>1731.1999999999998</v>
      </c>
      <c r="I92" s="22">
        <v>4157</v>
      </c>
      <c r="J92" s="22"/>
      <c r="K92" s="22">
        <f>133.2+22.7</f>
        <v>155.89999999999998</v>
      </c>
      <c r="L92" s="22">
        <v>1484.9</v>
      </c>
      <c r="M92" s="22">
        <v>7590.8</v>
      </c>
      <c r="N92" s="22">
        <v>2684.6</v>
      </c>
      <c r="O92" s="22">
        <v>1175.2</v>
      </c>
      <c r="P92" s="22">
        <v>1850.4</v>
      </c>
      <c r="Q92" s="22">
        <f>3473.8+8.6</f>
        <v>3482.4</v>
      </c>
      <c r="R92" s="22">
        <v>1701.7</v>
      </c>
      <c r="S92" s="26">
        <v>2648.5</v>
      </c>
      <c r="T92" s="26"/>
      <c r="U92" s="22"/>
      <c r="V92" s="22">
        <v>7402.6</v>
      </c>
      <c r="W92" s="22">
        <v>12096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58769.7</v>
      </c>
      <c r="AG92" s="22">
        <f t="shared" si="17"/>
        <v>211.00000000000728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141220.1</v>
      </c>
      <c r="C94" s="42">
        <f t="shared" si="18"/>
        <v>73733.20000000001</v>
      </c>
      <c r="D94" s="42">
        <f t="shared" si="18"/>
        <v>7536.299999999999</v>
      </c>
      <c r="E94" s="42">
        <f t="shared" si="18"/>
        <v>4910.5</v>
      </c>
      <c r="F94" s="42">
        <f t="shared" si="18"/>
        <v>2443.8</v>
      </c>
      <c r="G94" s="42">
        <f t="shared" si="18"/>
        <v>3100.8</v>
      </c>
      <c r="H94" s="42">
        <f t="shared" si="18"/>
        <v>3539.5999999999995</v>
      </c>
      <c r="I94" s="42">
        <f t="shared" si="18"/>
        <v>5461</v>
      </c>
      <c r="J94" s="42">
        <f t="shared" si="18"/>
        <v>20461.7</v>
      </c>
      <c r="K94" s="42">
        <f t="shared" si="18"/>
        <v>1378.3000000000002</v>
      </c>
      <c r="L94" s="42">
        <f t="shared" si="18"/>
        <v>2025.2</v>
      </c>
      <c r="M94" s="42">
        <f t="shared" si="18"/>
        <v>7922</v>
      </c>
      <c r="N94" s="42">
        <f t="shared" si="18"/>
        <v>3173.7999999999997</v>
      </c>
      <c r="O94" s="42">
        <f t="shared" si="18"/>
        <v>3637.8</v>
      </c>
      <c r="P94" s="42">
        <f t="shared" si="18"/>
        <v>3699.5</v>
      </c>
      <c r="Q94" s="42">
        <f t="shared" si="18"/>
        <v>4445.5</v>
      </c>
      <c r="R94" s="42">
        <f t="shared" si="18"/>
        <v>5116.3</v>
      </c>
      <c r="S94" s="42">
        <f t="shared" si="18"/>
        <v>10541.999999999998</v>
      </c>
      <c r="T94" s="42">
        <f t="shared" si="18"/>
        <v>5018.2</v>
      </c>
      <c r="U94" s="42">
        <f t="shared" si="18"/>
        <v>24299.799999999996</v>
      </c>
      <c r="V94" s="42">
        <f t="shared" si="18"/>
        <v>8010.900000000001</v>
      </c>
      <c r="W94" s="42">
        <f t="shared" si="18"/>
        <v>12763.3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139486.30000000002</v>
      </c>
      <c r="AG94" s="58">
        <f>AG10+AG15+AG24+AG33+AG47+AG52+AG54+AG61+AG62+AG69+AG71+AG72+AG76+AG81+AG82+AG83+AG88+AG89+AG90+AG91+AG70+AG40+AG92</f>
        <v>75467.00000000006</v>
      </c>
    </row>
    <row r="95" spans="1:33" ht="15.75">
      <c r="A95" s="3" t="s">
        <v>5</v>
      </c>
      <c r="B95" s="22">
        <f aca="true" t="shared" si="19" ref="B95:AD95">B11+B17+B26+B34+B55+B63+B73+B41+B77+B48</f>
        <v>50776.799999999996</v>
      </c>
      <c r="C95" s="22">
        <f t="shared" si="19"/>
        <v>8660.099999999999</v>
      </c>
      <c r="D95" s="22">
        <f t="shared" si="19"/>
        <v>-0.1</v>
      </c>
      <c r="E95" s="22">
        <f t="shared" si="19"/>
        <v>47.2</v>
      </c>
      <c r="F95" s="22">
        <f t="shared" si="19"/>
        <v>20</v>
      </c>
      <c r="G95" s="22">
        <f t="shared" si="19"/>
        <v>44.6</v>
      </c>
      <c r="H95" s="22">
        <f t="shared" si="19"/>
        <v>14.5</v>
      </c>
      <c r="I95" s="22">
        <f t="shared" si="19"/>
        <v>29.2</v>
      </c>
      <c r="J95" s="22">
        <f t="shared" si="19"/>
        <v>19334.600000000006</v>
      </c>
      <c r="K95" s="22">
        <f t="shared" si="19"/>
        <v>1111.8</v>
      </c>
      <c r="L95" s="22">
        <f t="shared" si="19"/>
        <v>3.3</v>
      </c>
      <c r="M95" s="22">
        <f t="shared" si="19"/>
        <v>0</v>
      </c>
      <c r="N95" s="22">
        <f t="shared" si="19"/>
        <v>10.1</v>
      </c>
      <c r="O95" s="22">
        <f t="shared" si="19"/>
        <v>8.3</v>
      </c>
      <c r="P95" s="22">
        <f t="shared" si="19"/>
        <v>5.2</v>
      </c>
      <c r="Q95" s="22">
        <f t="shared" si="19"/>
        <v>0</v>
      </c>
      <c r="R95" s="22">
        <f t="shared" si="19"/>
        <v>0</v>
      </c>
      <c r="S95" s="22">
        <f t="shared" si="19"/>
        <v>5936.1</v>
      </c>
      <c r="T95" s="22">
        <f t="shared" si="19"/>
        <v>3388</v>
      </c>
      <c r="U95" s="22">
        <f t="shared" si="19"/>
        <v>22613.600000000002</v>
      </c>
      <c r="V95" s="22">
        <f t="shared" si="19"/>
        <v>518.1</v>
      </c>
      <c r="W95" s="22">
        <f t="shared" si="19"/>
        <v>0.3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53084.80000000001</v>
      </c>
      <c r="AG95" s="27">
        <f>B95+C95-AF95</f>
        <v>6352.099999999984</v>
      </c>
    </row>
    <row r="96" spans="1:33" ht="15.75">
      <c r="A96" s="3" t="s">
        <v>2</v>
      </c>
      <c r="B96" s="22">
        <f aca="true" t="shared" si="20" ref="B96:AD96">B12+B20+B29+B36+B57+B66+B44+B80+B74+B53</f>
        <v>10436.699999999999</v>
      </c>
      <c r="C96" s="22">
        <f t="shared" si="20"/>
        <v>21339.300000000003</v>
      </c>
      <c r="D96" s="22">
        <f t="shared" si="20"/>
        <v>0</v>
      </c>
      <c r="E96" s="22">
        <f t="shared" si="20"/>
        <v>30.900000000000002</v>
      </c>
      <c r="F96" s="22">
        <f t="shared" si="20"/>
        <v>570</v>
      </c>
      <c r="G96" s="22">
        <f t="shared" si="20"/>
        <v>0.6000000000000001</v>
      </c>
      <c r="H96" s="22">
        <f t="shared" si="20"/>
        <v>322.8</v>
      </c>
      <c r="I96" s="22">
        <f t="shared" si="20"/>
        <v>36.6</v>
      </c>
      <c r="J96" s="22">
        <f t="shared" si="20"/>
        <v>336.3</v>
      </c>
      <c r="K96" s="22">
        <f t="shared" si="20"/>
        <v>0.9</v>
      </c>
      <c r="L96" s="22">
        <f t="shared" si="20"/>
        <v>13.1</v>
      </c>
      <c r="M96" s="22">
        <f t="shared" si="20"/>
        <v>6.4</v>
      </c>
      <c r="N96" s="22">
        <f t="shared" si="20"/>
        <v>161.4</v>
      </c>
      <c r="O96" s="22">
        <f t="shared" si="20"/>
        <v>223.00000000000003</v>
      </c>
      <c r="P96" s="22">
        <f t="shared" si="20"/>
        <v>7.4</v>
      </c>
      <c r="Q96" s="22">
        <f t="shared" si="20"/>
        <v>22.4</v>
      </c>
      <c r="R96" s="22">
        <f t="shared" si="20"/>
        <v>686.5</v>
      </c>
      <c r="S96" s="22">
        <f t="shared" si="20"/>
        <v>451.4</v>
      </c>
      <c r="T96" s="22">
        <f t="shared" si="20"/>
        <v>273.8</v>
      </c>
      <c r="U96" s="22">
        <f t="shared" si="20"/>
        <v>25.1</v>
      </c>
      <c r="V96" s="22">
        <f t="shared" si="20"/>
        <v>3.1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3171.7000000000003</v>
      </c>
      <c r="AG96" s="27">
        <f>B96+C96-AF96</f>
        <v>28604.3</v>
      </c>
    </row>
    <row r="97" spans="1:33" ht="15.75">
      <c r="A97" s="3" t="s">
        <v>3</v>
      </c>
      <c r="B97" s="22">
        <f aca="true" t="shared" si="21" ref="B97:AA97">B18+B27+B42+B64+B78</f>
        <v>1495.8000000000002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1</v>
      </c>
      <c r="I97" s="22">
        <f t="shared" si="21"/>
        <v>0.5</v>
      </c>
      <c r="J97" s="22">
        <f t="shared" si="21"/>
        <v>217</v>
      </c>
      <c r="K97" s="22">
        <f t="shared" si="21"/>
        <v>0</v>
      </c>
      <c r="L97" s="22">
        <f t="shared" si="21"/>
        <v>189.1</v>
      </c>
      <c r="M97" s="22">
        <f t="shared" si="21"/>
        <v>64.2</v>
      </c>
      <c r="N97" s="22">
        <f t="shared" si="21"/>
        <v>2.5</v>
      </c>
      <c r="O97" s="22">
        <f t="shared" si="21"/>
        <v>0</v>
      </c>
      <c r="P97" s="22">
        <f t="shared" si="21"/>
        <v>0</v>
      </c>
      <c r="Q97" s="22">
        <f t="shared" si="21"/>
        <v>52.8</v>
      </c>
      <c r="R97" s="22">
        <f t="shared" si="21"/>
        <v>7.6</v>
      </c>
      <c r="S97" s="22">
        <f t="shared" si="21"/>
        <v>268.3</v>
      </c>
      <c r="T97" s="22">
        <f t="shared" si="21"/>
        <v>247.3</v>
      </c>
      <c r="U97" s="22">
        <f t="shared" si="21"/>
        <v>5.2</v>
      </c>
      <c r="V97" s="22">
        <f t="shared" si="21"/>
        <v>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1056.5</v>
      </c>
      <c r="AG97" s="27">
        <f>B97+C97-AF97</f>
        <v>2798.1000000000004</v>
      </c>
    </row>
    <row r="98" spans="1:33" ht="15.75">
      <c r="A98" s="3" t="s">
        <v>1</v>
      </c>
      <c r="B98" s="22">
        <f aca="true" t="shared" si="22" ref="B98:AD98">B19+B28+B65+B35+B43+B56+B79</f>
        <v>3991.2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1.3</v>
      </c>
      <c r="H98" s="22">
        <f t="shared" si="22"/>
        <v>637.5</v>
      </c>
      <c r="I98" s="22">
        <f t="shared" si="22"/>
        <v>6.7</v>
      </c>
      <c r="J98" s="22">
        <f t="shared" si="22"/>
        <v>177.29999999999998</v>
      </c>
      <c r="K98" s="22">
        <f t="shared" si="22"/>
        <v>5.3</v>
      </c>
      <c r="L98" s="22">
        <f t="shared" si="22"/>
        <v>0</v>
      </c>
      <c r="M98" s="22">
        <f t="shared" si="22"/>
        <v>97.5</v>
      </c>
      <c r="N98" s="22">
        <f t="shared" si="22"/>
        <v>14.8</v>
      </c>
      <c r="O98" s="22">
        <f t="shared" si="22"/>
        <v>570.6</v>
      </c>
      <c r="P98" s="22">
        <f t="shared" si="22"/>
        <v>0</v>
      </c>
      <c r="Q98" s="22">
        <f t="shared" si="22"/>
        <v>284.2</v>
      </c>
      <c r="R98" s="22">
        <f t="shared" si="22"/>
        <v>624</v>
      </c>
      <c r="S98" s="22">
        <f t="shared" si="22"/>
        <v>690.7</v>
      </c>
      <c r="T98" s="22">
        <f t="shared" si="22"/>
        <v>367.1</v>
      </c>
      <c r="U98" s="22">
        <f t="shared" si="22"/>
        <v>55.1</v>
      </c>
      <c r="V98" s="22">
        <f t="shared" si="22"/>
        <v>56.8</v>
      </c>
      <c r="W98" s="22">
        <f t="shared" si="22"/>
        <v>3.8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3592.7</v>
      </c>
      <c r="AG98" s="27">
        <f>B98+C98-AF98</f>
        <v>4286.599999999999</v>
      </c>
    </row>
    <row r="99" spans="1:33" ht="15.75">
      <c r="A99" s="3" t="s">
        <v>17</v>
      </c>
      <c r="B99" s="22">
        <f aca="true" t="shared" si="23" ref="B99:X99">B21+B30+B49+B37+B58+B13+B75+B67</f>
        <v>2335.2999999999997</v>
      </c>
      <c r="C99" s="22">
        <f t="shared" si="23"/>
        <v>3535.7</v>
      </c>
      <c r="D99" s="22">
        <f t="shared" si="23"/>
        <v>0</v>
      </c>
      <c r="E99" s="22">
        <f t="shared" si="23"/>
        <v>0</v>
      </c>
      <c r="F99" s="22">
        <f t="shared" si="23"/>
        <v>1.8</v>
      </c>
      <c r="G99" s="22">
        <f t="shared" si="23"/>
        <v>0</v>
      </c>
      <c r="H99" s="22">
        <f t="shared" si="23"/>
        <v>0</v>
      </c>
      <c r="I99" s="22">
        <f t="shared" si="23"/>
        <v>184.20000000000002</v>
      </c>
      <c r="J99" s="22">
        <f t="shared" si="23"/>
        <v>35</v>
      </c>
      <c r="K99" s="22">
        <f t="shared" si="23"/>
        <v>0</v>
      </c>
      <c r="L99" s="22">
        <f t="shared" si="23"/>
        <v>40</v>
      </c>
      <c r="M99" s="22">
        <f t="shared" si="23"/>
        <v>92</v>
      </c>
      <c r="N99" s="22">
        <f t="shared" si="23"/>
        <v>2.2</v>
      </c>
      <c r="O99" s="22">
        <f t="shared" si="23"/>
        <v>351.7</v>
      </c>
      <c r="P99" s="22">
        <f t="shared" si="23"/>
        <v>0</v>
      </c>
      <c r="Q99" s="22">
        <f t="shared" si="23"/>
        <v>69.8</v>
      </c>
      <c r="R99" s="22">
        <f t="shared" si="23"/>
        <v>507.6</v>
      </c>
      <c r="S99" s="22">
        <f t="shared" si="23"/>
        <v>211.3</v>
      </c>
      <c r="T99" s="22">
        <f t="shared" si="23"/>
        <v>45.8</v>
      </c>
      <c r="U99" s="22">
        <f t="shared" si="23"/>
        <v>54.1</v>
      </c>
      <c r="V99" s="22">
        <f t="shared" si="23"/>
        <v>2.9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1598.3999999999999</v>
      </c>
      <c r="AG99" s="27">
        <f>B99+C99-AF99</f>
        <v>4272.6</v>
      </c>
    </row>
    <row r="100" spans="1:33" ht="12.75">
      <c r="A100" s="1" t="s">
        <v>41</v>
      </c>
      <c r="B100" s="2">
        <f aca="true" t="shared" si="25" ref="B100:AD100">B94-B95-B96-B97-B98-B99</f>
        <v>72184.30000000002</v>
      </c>
      <c r="C100" s="2">
        <f t="shared" si="25"/>
        <v>33951.20000000001</v>
      </c>
      <c r="D100" s="2">
        <f t="shared" si="25"/>
        <v>7536.4</v>
      </c>
      <c r="E100" s="2">
        <f t="shared" si="25"/>
        <v>4832.400000000001</v>
      </c>
      <c r="F100" s="2">
        <f t="shared" si="25"/>
        <v>1852.0000000000002</v>
      </c>
      <c r="G100" s="2">
        <f t="shared" si="25"/>
        <v>3054.3</v>
      </c>
      <c r="H100" s="2">
        <f t="shared" si="25"/>
        <v>2563.7999999999993</v>
      </c>
      <c r="I100" s="2">
        <f t="shared" si="25"/>
        <v>5203.8</v>
      </c>
      <c r="J100" s="2">
        <f t="shared" si="25"/>
        <v>361.499999999995</v>
      </c>
      <c r="K100" s="2">
        <f t="shared" si="25"/>
        <v>260.30000000000024</v>
      </c>
      <c r="L100" s="2">
        <f t="shared" si="25"/>
        <v>1779.7000000000003</v>
      </c>
      <c r="M100" s="2">
        <f t="shared" si="25"/>
        <v>7661.900000000001</v>
      </c>
      <c r="N100" s="2">
        <f t="shared" si="25"/>
        <v>2982.7999999999997</v>
      </c>
      <c r="O100" s="2">
        <f t="shared" si="25"/>
        <v>2484.2000000000003</v>
      </c>
      <c r="P100" s="2">
        <f t="shared" si="25"/>
        <v>3686.9</v>
      </c>
      <c r="Q100" s="2">
        <f t="shared" si="25"/>
        <v>4016.3</v>
      </c>
      <c r="R100" s="2">
        <f t="shared" si="25"/>
        <v>3290.6</v>
      </c>
      <c r="S100" s="2">
        <f t="shared" si="25"/>
        <v>2984.199999999998</v>
      </c>
      <c r="T100" s="2">
        <f t="shared" si="25"/>
        <v>696.1999999999999</v>
      </c>
      <c r="U100" s="2">
        <f t="shared" si="25"/>
        <v>1546.6999999999937</v>
      </c>
      <c r="V100" s="2">
        <f t="shared" si="25"/>
        <v>7429</v>
      </c>
      <c r="W100" s="2">
        <f t="shared" si="25"/>
        <v>12759.2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76982.20000000001</v>
      </c>
      <c r="AG100" s="2">
        <f>AG94-AG95-AG96-AG97-AG98-AG99</f>
        <v>29153.300000000083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U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8" sqref="B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SUM(D5:Y5)</f>
        <v>771.4</v>
      </c>
      <c r="C5" s="72">
        <v>1716.7</v>
      </c>
      <c r="D5" s="45"/>
      <c r="E5" s="46"/>
      <c r="F5" s="46"/>
      <c r="G5" s="46"/>
      <c r="H5" s="46"/>
      <c r="I5" s="46"/>
      <c r="J5" s="47"/>
      <c r="K5" s="46">
        <v>771.4</v>
      </c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23500.3</v>
      </c>
      <c r="D7" s="45"/>
      <c r="E7" s="46">
        <v>15204.5</v>
      </c>
      <c r="F7" s="46"/>
      <c r="G7" s="46"/>
      <c r="H7" s="74"/>
      <c r="I7" s="46"/>
      <c r="J7" s="47"/>
      <c r="K7" s="46"/>
      <c r="L7" s="46"/>
      <c r="M7" s="46">
        <v>15204.6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95217.80000000002</v>
      </c>
      <c r="C8" s="40">
        <v>53272.8</v>
      </c>
      <c r="D8" s="43">
        <v>6669</v>
      </c>
      <c r="E8" s="55">
        <v>4704.8</v>
      </c>
      <c r="F8" s="55">
        <v>1673.6</v>
      </c>
      <c r="G8" s="55">
        <v>2161.9</v>
      </c>
      <c r="H8" s="55">
        <v>5108</v>
      </c>
      <c r="I8" s="55">
        <v>7111.4</v>
      </c>
      <c r="J8" s="56">
        <v>2881.4</v>
      </c>
      <c r="K8" s="55">
        <v>2887.4</v>
      </c>
      <c r="L8" s="55">
        <v>2108.5</v>
      </c>
      <c r="M8" s="55">
        <v>2665</v>
      </c>
      <c r="N8" s="55">
        <v>3091.6</v>
      </c>
      <c r="O8" s="55">
        <v>6364.6</v>
      </c>
      <c r="P8" s="55">
        <v>4852.2</v>
      </c>
      <c r="Q8" s="55">
        <v>4780.8</v>
      </c>
      <c r="R8" s="55">
        <v>5862.8</v>
      </c>
      <c r="S8" s="57">
        <v>3610.1</v>
      </c>
      <c r="T8" s="57">
        <v>3437.1</v>
      </c>
      <c r="U8" s="55">
        <v>2540</v>
      </c>
      <c r="V8" s="55">
        <v>1286.2</v>
      </c>
      <c r="W8" s="55">
        <v>2381.6</v>
      </c>
      <c r="X8" s="56">
        <v>7211.9</v>
      </c>
      <c r="Y8" s="56">
        <f>11840.7-12.8</f>
        <v>11827.900000000001</v>
      </c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119914.1</v>
      </c>
      <c r="C9" s="24">
        <f t="shared" si="0"/>
        <v>72013.80000000003</v>
      </c>
      <c r="D9" s="24">
        <f t="shared" si="0"/>
        <v>9499.1</v>
      </c>
      <c r="E9" s="24">
        <f t="shared" si="0"/>
        <v>5009.9</v>
      </c>
      <c r="F9" s="24">
        <f t="shared" si="0"/>
        <v>1793.6999999999998</v>
      </c>
      <c r="G9" s="24">
        <f t="shared" si="0"/>
        <v>2161.9</v>
      </c>
      <c r="H9" s="24">
        <f t="shared" si="0"/>
        <v>6617.099999999999</v>
      </c>
      <c r="I9" s="24">
        <f t="shared" si="0"/>
        <v>7120.6</v>
      </c>
      <c r="J9" s="24">
        <f t="shared" si="0"/>
        <v>3629.8</v>
      </c>
      <c r="K9" s="24">
        <f t="shared" si="0"/>
        <v>1920.3000000000002</v>
      </c>
      <c r="L9" s="24">
        <f t="shared" si="0"/>
        <v>14265.9</v>
      </c>
      <c r="M9" s="24">
        <f t="shared" si="0"/>
        <v>11995.800000000003</v>
      </c>
      <c r="N9" s="24">
        <f t="shared" si="0"/>
        <v>1026.8999999999999</v>
      </c>
      <c r="O9" s="24">
        <f t="shared" si="0"/>
        <v>849.8000000000001</v>
      </c>
      <c r="P9" s="24">
        <f t="shared" si="0"/>
        <v>910.5000000000001</v>
      </c>
      <c r="Q9" s="24">
        <f t="shared" si="0"/>
        <v>2270.3</v>
      </c>
      <c r="R9" s="24">
        <f t="shared" si="0"/>
        <v>388.7999999999999</v>
      </c>
      <c r="S9" s="24">
        <f t="shared" si="0"/>
        <v>1695.8999999999999</v>
      </c>
      <c r="T9" s="24">
        <f t="shared" si="0"/>
        <v>3523.3</v>
      </c>
      <c r="U9" s="24">
        <f t="shared" si="0"/>
        <v>6853.499999999999</v>
      </c>
      <c r="V9" s="24">
        <f t="shared" si="0"/>
        <v>8340.900000000001</v>
      </c>
      <c r="W9" s="24">
        <f t="shared" si="0"/>
        <v>18371.8</v>
      </c>
      <c r="X9" s="24">
        <f t="shared" si="0"/>
        <v>4522.3</v>
      </c>
      <c r="Y9" s="24">
        <f t="shared" si="0"/>
        <v>844.2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113612.30000000003</v>
      </c>
      <c r="AG9" s="50">
        <f>AG10+AG15+AG24+AG33+AG47+AG52+AG54+AG61+AG62+AG71+AG72+AG76+AG88+AG81+AG83+AG82+AG69+AG89+AG91+AG90+AG70+AG40+AG92</f>
        <v>78315.6</v>
      </c>
      <c r="AH9" s="49"/>
      <c r="AI9" s="49"/>
    </row>
    <row r="10" spans="1:33" ht="15.75">
      <c r="A10" s="4" t="s">
        <v>4</v>
      </c>
      <c r="B10" s="22">
        <f>4537.7+28.8+1684.5</f>
        <v>6251</v>
      </c>
      <c r="C10" s="22">
        <v>4101.9</v>
      </c>
      <c r="D10" s="22">
        <v>15.8</v>
      </c>
      <c r="E10" s="22">
        <v>61.2</v>
      </c>
      <c r="F10" s="22">
        <v>46.7</v>
      </c>
      <c r="G10" s="22">
        <v>110.4</v>
      </c>
      <c r="H10" s="22">
        <v>15</v>
      </c>
      <c r="I10" s="22">
        <v>130.8</v>
      </c>
      <c r="J10" s="25">
        <v>28.4</v>
      </c>
      <c r="K10" s="22">
        <v>129.4</v>
      </c>
      <c r="L10" s="22">
        <v>817.1</v>
      </c>
      <c r="M10" s="22">
        <v>784.9</v>
      </c>
      <c r="N10" s="22"/>
      <c r="O10" s="27">
        <v>173.2</v>
      </c>
      <c r="P10" s="22">
        <v>280.6</v>
      </c>
      <c r="Q10" s="22">
        <v>8.2</v>
      </c>
      <c r="R10" s="22">
        <v>18.5</v>
      </c>
      <c r="S10" s="26">
        <v>36.5</v>
      </c>
      <c r="T10" s="26">
        <v>8.8</v>
      </c>
      <c r="U10" s="26">
        <v>35.3</v>
      </c>
      <c r="V10" s="26">
        <v>16</v>
      </c>
      <c r="W10" s="26">
        <v>2745.3</v>
      </c>
      <c r="X10" s="22">
        <v>1166.5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6628.6</v>
      </c>
      <c r="AG10" s="27">
        <f>B10+C10-AF10</f>
        <v>3724.2999999999993</v>
      </c>
    </row>
    <row r="11" spans="1:33" ht="15.75">
      <c r="A11" s="3" t="s">
        <v>5</v>
      </c>
      <c r="B11" s="22">
        <f>3767.5+1674</f>
        <v>5441.5</v>
      </c>
      <c r="C11" s="22">
        <v>2068.8</v>
      </c>
      <c r="D11" s="22"/>
      <c r="E11" s="22">
        <v>13.3</v>
      </c>
      <c r="F11" s="22"/>
      <c r="G11" s="22"/>
      <c r="H11" s="22"/>
      <c r="I11" s="22">
        <v>32.3</v>
      </c>
      <c r="J11" s="26">
        <v>21</v>
      </c>
      <c r="K11" s="22">
        <v>129.4</v>
      </c>
      <c r="L11" s="22">
        <v>807.6</v>
      </c>
      <c r="M11" s="22">
        <v>765.2</v>
      </c>
      <c r="N11" s="22"/>
      <c r="O11" s="27">
        <v>6.5</v>
      </c>
      <c r="P11" s="22">
        <v>247.2</v>
      </c>
      <c r="Q11" s="22"/>
      <c r="R11" s="22"/>
      <c r="S11" s="26">
        <v>1.5</v>
      </c>
      <c r="T11" s="26"/>
      <c r="U11" s="26">
        <v>24.5</v>
      </c>
      <c r="V11" s="26"/>
      <c r="W11" s="26">
        <v>2619.8</v>
      </c>
      <c r="X11" s="22">
        <v>1153.5</v>
      </c>
      <c r="Y11" s="26"/>
      <c r="Z11" s="26"/>
      <c r="AA11" s="26"/>
      <c r="AB11" s="22"/>
      <c r="AC11" s="22"/>
      <c r="AD11" s="22"/>
      <c r="AE11" s="22"/>
      <c r="AF11" s="22">
        <f t="shared" si="1"/>
        <v>5821.8</v>
      </c>
      <c r="AG11" s="27">
        <f>B11+C11-AF11</f>
        <v>1688.5</v>
      </c>
    </row>
    <row r="12" spans="1:33" ht="15.75">
      <c r="A12" s="3" t="s">
        <v>2</v>
      </c>
      <c r="B12" s="36">
        <v>285.7</v>
      </c>
      <c r="C12" s="22">
        <v>281.5</v>
      </c>
      <c r="D12" s="22">
        <v>15.8</v>
      </c>
      <c r="E12" s="22"/>
      <c r="F12" s="22"/>
      <c r="G12" s="22"/>
      <c r="H12" s="22"/>
      <c r="I12" s="22">
        <v>1.8</v>
      </c>
      <c r="J12" s="26"/>
      <c r="K12" s="22"/>
      <c r="L12" s="22"/>
      <c r="M12" s="22"/>
      <c r="N12" s="22"/>
      <c r="O12" s="27">
        <v>117.3</v>
      </c>
      <c r="P12" s="22">
        <v>0.9</v>
      </c>
      <c r="Q12" s="22"/>
      <c r="R12" s="22"/>
      <c r="S12" s="26"/>
      <c r="T12" s="26"/>
      <c r="U12" s="26"/>
      <c r="V12" s="26"/>
      <c r="W12" s="26">
        <v>61.8</v>
      </c>
      <c r="X12" s="22">
        <v>5.7</v>
      </c>
      <c r="Y12" s="26"/>
      <c r="Z12" s="26"/>
      <c r="AA12" s="26"/>
      <c r="AB12" s="22"/>
      <c r="AC12" s="22"/>
      <c r="AD12" s="22"/>
      <c r="AE12" s="22"/>
      <c r="AF12" s="22">
        <f t="shared" si="1"/>
        <v>203.3</v>
      </c>
      <c r="AG12" s="27">
        <f>B12+C12-AF12</f>
        <v>363.90000000000003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523.8</v>
      </c>
      <c r="C14" s="22">
        <f t="shared" si="2"/>
        <v>1751.5999999999995</v>
      </c>
      <c r="D14" s="22">
        <f t="shared" si="2"/>
        <v>0</v>
      </c>
      <c r="E14" s="22">
        <f t="shared" si="2"/>
        <v>47.900000000000006</v>
      </c>
      <c r="F14" s="22">
        <f t="shared" si="2"/>
        <v>46.7</v>
      </c>
      <c r="G14" s="22">
        <f t="shared" si="2"/>
        <v>110.4</v>
      </c>
      <c r="H14" s="22">
        <f t="shared" si="2"/>
        <v>15</v>
      </c>
      <c r="I14" s="22">
        <f t="shared" si="2"/>
        <v>96.70000000000002</v>
      </c>
      <c r="J14" s="22">
        <f t="shared" si="2"/>
        <v>7.399999999999999</v>
      </c>
      <c r="K14" s="22">
        <f t="shared" si="2"/>
        <v>0</v>
      </c>
      <c r="L14" s="22">
        <f t="shared" si="2"/>
        <v>9.5</v>
      </c>
      <c r="M14" s="22">
        <f t="shared" si="2"/>
        <v>19.699999999999932</v>
      </c>
      <c r="N14" s="22">
        <f t="shared" si="2"/>
        <v>0</v>
      </c>
      <c r="O14" s="22">
        <f t="shared" si="2"/>
        <v>49.39999999999999</v>
      </c>
      <c r="P14" s="22">
        <f t="shared" si="2"/>
        <v>32.500000000000036</v>
      </c>
      <c r="Q14" s="22">
        <f t="shared" si="2"/>
        <v>8.2</v>
      </c>
      <c r="R14" s="22">
        <f t="shared" si="2"/>
        <v>18.5</v>
      </c>
      <c r="S14" s="22">
        <f t="shared" si="2"/>
        <v>35</v>
      </c>
      <c r="T14" s="22">
        <f t="shared" si="2"/>
        <v>8.8</v>
      </c>
      <c r="U14" s="22">
        <f t="shared" si="2"/>
        <v>10.799999999999997</v>
      </c>
      <c r="V14" s="22">
        <f t="shared" si="2"/>
        <v>16</v>
      </c>
      <c r="W14" s="22">
        <f t="shared" si="2"/>
        <v>63.7</v>
      </c>
      <c r="X14" s="22">
        <f t="shared" si="2"/>
        <v>7.3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603.5</v>
      </c>
      <c r="AG14" s="27">
        <f>AG10-AG11-AG12-AG13</f>
        <v>1671.8999999999992</v>
      </c>
    </row>
    <row r="15" spans="1:33" ht="15" customHeight="1">
      <c r="A15" s="4" t="s">
        <v>6</v>
      </c>
      <c r="B15" s="22">
        <f>42478.4+177+726.1-0.1</f>
        <v>43381.4</v>
      </c>
      <c r="C15" s="22">
        <v>32771.6</v>
      </c>
      <c r="D15" s="44">
        <v>36.7</v>
      </c>
      <c r="E15" s="44">
        <v>2.9</v>
      </c>
      <c r="F15" s="22"/>
      <c r="G15" s="22"/>
      <c r="H15" s="22">
        <v>1390.8</v>
      </c>
      <c r="I15" s="22">
        <v>473.5</v>
      </c>
      <c r="J15" s="26">
        <v>94.1</v>
      </c>
      <c r="K15" s="22">
        <v>160.7</v>
      </c>
      <c r="L15" s="22">
        <v>5895.8</v>
      </c>
      <c r="M15" s="22">
        <v>8746.9</v>
      </c>
      <c r="N15" s="22">
        <v>145.1</v>
      </c>
      <c r="O15" s="27">
        <v>473.2</v>
      </c>
      <c r="P15" s="22">
        <v>40.2</v>
      </c>
      <c r="Q15" s="27">
        <v>1154.4</v>
      </c>
      <c r="R15" s="22">
        <v>173.1</v>
      </c>
      <c r="S15" s="26">
        <v>6.7</v>
      </c>
      <c r="T15" s="26">
        <v>1143.7</v>
      </c>
      <c r="U15" s="26">
        <v>6208.9</v>
      </c>
      <c r="V15" s="26">
        <v>2190.9</v>
      </c>
      <c r="W15" s="26">
        <v>7831.9</v>
      </c>
      <c r="X15" s="22">
        <v>213.4</v>
      </c>
      <c r="Y15" s="26">
        <v>23</v>
      </c>
      <c r="Z15" s="26"/>
      <c r="AA15" s="26"/>
      <c r="AB15" s="22"/>
      <c r="AC15" s="22"/>
      <c r="AD15" s="22"/>
      <c r="AE15" s="22"/>
      <c r="AF15" s="27">
        <f t="shared" si="1"/>
        <v>36405.90000000001</v>
      </c>
      <c r="AG15" s="27">
        <f aca="true" t="shared" si="3" ref="AG15:AG31">B15+C15-AF15</f>
        <v>39747.09999999999</v>
      </c>
    </row>
    <row r="16" spans="1:34" s="70" customFormat="1" ht="15" customHeight="1">
      <c r="A16" s="65" t="s">
        <v>46</v>
      </c>
      <c r="B16" s="66">
        <f>14490.1-0.2</f>
        <v>14489.9</v>
      </c>
      <c r="C16" s="66">
        <v>13613</v>
      </c>
      <c r="D16" s="67"/>
      <c r="E16" s="67"/>
      <c r="F16" s="66"/>
      <c r="G16" s="66"/>
      <c r="H16" s="66">
        <v>463</v>
      </c>
      <c r="I16" s="66">
        <v>3.9</v>
      </c>
      <c r="J16" s="68">
        <v>0.1</v>
      </c>
      <c r="K16" s="66"/>
      <c r="L16" s="66">
        <v>5894.4</v>
      </c>
      <c r="M16" s="66">
        <v>625.5</v>
      </c>
      <c r="N16" s="66">
        <v>2.6</v>
      </c>
      <c r="O16" s="69">
        <v>179.3</v>
      </c>
      <c r="P16" s="66"/>
      <c r="Q16" s="69">
        <v>359.7</v>
      </c>
      <c r="R16" s="66">
        <v>139.1</v>
      </c>
      <c r="S16" s="68"/>
      <c r="T16" s="68">
        <v>86.3</v>
      </c>
      <c r="U16" s="68">
        <v>6208.9</v>
      </c>
      <c r="V16" s="68">
        <v>81.6</v>
      </c>
      <c r="W16" s="68">
        <v>31.3</v>
      </c>
      <c r="X16" s="66">
        <v>149.5</v>
      </c>
      <c r="Y16" s="68"/>
      <c r="Z16" s="68"/>
      <c r="AA16" s="68"/>
      <c r="AB16" s="66"/>
      <c r="AC16" s="66"/>
      <c r="AD16" s="66"/>
      <c r="AE16" s="66"/>
      <c r="AF16" s="71">
        <f t="shared" si="1"/>
        <v>14225.199999999999</v>
      </c>
      <c r="AG16" s="71">
        <f t="shared" si="3"/>
        <v>13877.700000000003</v>
      </c>
      <c r="AH16" s="75"/>
    </row>
    <row r="17" spans="1:34" ht="15.75">
      <c r="A17" s="3" t="s">
        <v>5</v>
      </c>
      <c r="B17" s="22">
        <f>26752.5+24.8</f>
        <v>26777.3</v>
      </c>
      <c r="C17" s="22">
        <v>1361.2</v>
      </c>
      <c r="D17" s="22"/>
      <c r="E17" s="22"/>
      <c r="F17" s="22"/>
      <c r="G17" s="22"/>
      <c r="H17" s="22"/>
      <c r="I17" s="22"/>
      <c r="J17" s="26"/>
      <c r="K17" s="22">
        <v>1.3</v>
      </c>
      <c r="L17" s="22">
        <v>5894.4</v>
      </c>
      <c r="M17" s="22">
        <v>5435.7</v>
      </c>
      <c r="N17" s="22"/>
      <c r="O17" s="27">
        <v>7.2</v>
      </c>
      <c r="P17" s="22"/>
      <c r="Q17" s="27">
        <v>1.5</v>
      </c>
      <c r="R17" s="22"/>
      <c r="S17" s="26"/>
      <c r="T17" s="26"/>
      <c r="U17" s="26">
        <v>6208.9</v>
      </c>
      <c r="V17" s="26"/>
      <c r="W17" s="26">
        <v>7426</v>
      </c>
      <c r="X17" s="22">
        <v>93.3</v>
      </c>
      <c r="Y17" s="26"/>
      <c r="Z17" s="26"/>
      <c r="AA17" s="26"/>
      <c r="AB17" s="22"/>
      <c r="AC17" s="22"/>
      <c r="AD17" s="22"/>
      <c r="AE17" s="22"/>
      <c r="AF17" s="27">
        <f t="shared" si="1"/>
        <v>25068.3</v>
      </c>
      <c r="AG17" s="27">
        <f t="shared" si="3"/>
        <v>3070.2000000000007</v>
      </c>
      <c r="AH17" s="6"/>
    </row>
    <row r="18" spans="1:33" ht="15.75">
      <c r="A18" s="3" t="s">
        <v>3</v>
      </c>
      <c r="B18" s="22">
        <v>4.8</v>
      </c>
      <c r="C18" s="22">
        <v>25.1</v>
      </c>
      <c r="D18" s="22"/>
      <c r="E18" s="22"/>
      <c r="F18" s="22"/>
      <c r="G18" s="22"/>
      <c r="H18" s="22"/>
      <c r="I18" s="22"/>
      <c r="J18" s="26">
        <v>1.2</v>
      </c>
      <c r="K18" s="22"/>
      <c r="L18" s="22"/>
      <c r="M18" s="22">
        <v>2.8</v>
      </c>
      <c r="N18" s="22"/>
      <c r="O18" s="27"/>
      <c r="P18" s="22"/>
      <c r="Q18" s="27">
        <v>0.3</v>
      </c>
      <c r="R18" s="22">
        <v>0.4</v>
      </c>
      <c r="S18" s="26"/>
      <c r="T18" s="26">
        <v>1.5</v>
      </c>
      <c r="U18" s="26"/>
      <c r="V18" s="26">
        <v>5.8</v>
      </c>
      <c r="W18" s="26">
        <v>1.1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13.1</v>
      </c>
      <c r="AG18" s="27">
        <f t="shared" si="3"/>
        <v>16.800000000000004</v>
      </c>
    </row>
    <row r="19" spans="1:33" ht="15.75">
      <c r="A19" s="3" t="s">
        <v>1</v>
      </c>
      <c r="B19" s="22">
        <f>4198.1-820.3</f>
        <v>3377.8</v>
      </c>
      <c r="C19" s="22">
        <v>4195.2</v>
      </c>
      <c r="D19" s="22">
        <v>36.7</v>
      </c>
      <c r="E19" s="22">
        <v>2.9</v>
      </c>
      <c r="F19" s="22"/>
      <c r="G19" s="22"/>
      <c r="H19" s="22">
        <v>429.3</v>
      </c>
      <c r="I19" s="22">
        <v>455.9</v>
      </c>
      <c r="J19" s="26">
        <v>49.9</v>
      </c>
      <c r="K19" s="22">
        <v>159.4</v>
      </c>
      <c r="L19" s="22"/>
      <c r="M19" s="22">
        <v>28.8</v>
      </c>
      <c r="N19" s="22">
        <v>117.9</v>
      </c>
      <c r="O19" s="27">
        <v>269.4</v>
      </c>
      <c r="P19" s="22"/>
      <c r="Q19" s="27">
        <v>317</v>
      </c>
      <c r="R19" s="22"/>
      <c r="S19" s="26"/>
      <c r="T19" s="26">
        <v>223.7</v>
      </c>
      <c r="U19" s="26"/>
      <c r="V19" s="26">
        <v>903.7</v>
      </c>
      <c r="W19" s="26">
        <v>210.1</v>
      </c>
      <c r="X19" s="22">
        <v>43.7</v>
      </c>
      <c r="Y19" s="26">
        <v>21.8</v>
      </c>
      <c r="Z19" s="26"/>
      <c r="AA19" s="26"/>
      <c r="AB19" s="22"/>
      <c r="AC19" s="22"/>
      <c r="AD19" s="22"/>
      <c r="AE19" s="22"/>
      <c r="AF19" s="27">
        <f t="shared" si="1"/>
        <v>3270.1999999999994</v>
      </c>
      <c r="AG19" s="27">
        <f t="shared" si="3"/>
        <v>4302.800000000001</v>
      </c>
    </row>
    <row r="20" spans="1:33" ht="15.75">
      <c r="A20" s="3" t="s">
        <v>2</v>
      </c>
      <c r="B20" s="22">
        <f>9089.4+821.4</f>
        <v>9910.8</v>
      </c>
      <c r="C20" s="22">
        <v>21159.5</v>
      </c>
      <c r="D20" s="22"/>
      <c r="E20" s="22"/>
      <c r="F20" s="22"/>
      <c r="G20" s="22"/>
      <c r="H20" s="22">
        <v>686.7</v>
      </c>
      <c r="I20" s="22">
        <v>13.7</v>
      </c>
      <c r="J20" s="26">
        <v>5.5</v>
      </c>
      <c r="K20" s="22"/>
      <c r="L20" s="22"/>
      <c r="M20" s="22">
        <v>2489.4</v>
      </c>
      <c r="N20" s="22"/>
      <c r="O20" s="27">
        <v>185.4</v>
      </c>
      <c r="P20" s="22"/>
      <c r="Q20" s="27">
        <v>429.3</v>
      </c>
      <c r="R20" s="22">
        <v>130.9</v>
      </c>
      <c r="S20" s="26"/>
      <c r="T20" s="26">
        <v>632.9</v>
      </c>
      <c r="U20" s="26"/>
      <c r="V20" s="26">
        <v>384.1</v>
      </c>
      <c r="W20" s="26">
        <v>21.8</v>
      </c>
      <c r="X20" s="22">
        <v>6.3</v>
      </c>
      <c r="Y20" s="26"/>
      <c r="Z20" s="26"/>
      <c r="AA20" s="26"/>
      <c r="AB20" s="22"/>
      <c r="AC20" s="22"/>
      <c r="AD20" s="22"/>
      <c r="AE20" s="22"/>
      <c r="AF20" s="27">
        <f t="shared" si="1"/>
        <v>4986.000000000001</v>
      </c>
      <c r="AG20" s="27">
        <f t="shared" si="3"/>
        <v>26084.3</v>
      </c>
    </row>
    <row r="21" spans="1:33" ht="15.75">
      <c r="A21" s="3" t="s">
        <v>17</v>
      </c>
      <c r="B21" s="22">
        <v>1414.5</v>
      </c>
      <c r="C21" s="22">
        <f>1637.4-1455.2</f>
        <v>182.20000000000005</v>
      </c>
      <c r="D21" s="22"/>
      <c r="E21" s="22"/>
      <c r="F21" s="22"/>
      <c r="G21" s="22"/>
      <c r="H21" s="22">
        <v>9.1</v>
      </c>
      <c r="I21" s="22"/>
      <c r="J21" s="26"/>
      <c r="K21" s="22"/>
      <c r="L21" s="22">
        <v>0.9</v>
      </c>
      <c r="M21" s="22">
        <v>311.8</v>
      </c>
      <c r="N21" s="22"/>
      <c r="O21" s="27"/>
      <c r="P21" s="22">
        <v>37.9</v>
      </c>
      <c r="Q21" s="27"/>
      <c r="R21" s="22"/>
      <c r="S21" s="26"/>
      <c r="T21" s="26">
        <v>285.6</v>
      </c>
      <c r="U21" s="22"/>
      <c r="V21" s="22">
        <v>511.7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1157</v>
      </c>
      <c r="AG21" s="27">
        <f t="shared" si="3"/>
        <v>439.70000000000005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1896.2000000000044</v>
      </c>
      <c r="C23" s="22">
        <f t="shared" si="4"/>
        <v>5848.399999999999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265.69999999999993</v>
      </c>
      <c r="I23" s="22">
        <f t="shared" si="4"/>
        <v>3.9000000000000234</v>
      </c>
      <c r="J23" s="22">
        <f t="shared" si="4"/>
        <v>37.49999999999999</v>
      </c>
      <c r="K23" s="22">
        <f t="shared" si="4"/>
        <v>-2.842170943040401E-14</v>
      </c>
      <c r="L23" s="22">
        <f t="shared" si="4"/>
        <v>0.5000000000005457</v>
      </c>
      <c r="M23" s="22">
        <f t="shared" si="4"/>
        <v>478.39999999999935</v>
      </c>
      <c r="N23" s="22">
        <f t="shared" si="4"/>
        <v>27.19999999999999</v>
      </c>
      <c r="O23" s="22">
        <f t="shared" si="4"/>
        <v>11.200000000000017</v>
      </c>
      <c r="P23" s="22">
        <f t="shared" si="4"/>
        <v>2.3000000000000043</v>
      </c>
      <c r="Q23" s="22">
        <f t="shared" si="4"/>
        <v>406.3000000000001</v>
      </c>
      <c r="R23" s="22">
        <f t="shared" si="4"/>
        <v>41.79999999999998</v>
      </c>
      <c r="S23" s="22">
        <f t="shared" si="4"/>
        <v>6.7</v>
      </c>
      <c r="T23" s="22">
        <f t="shared" si="4"/>
        <v>0</v>
      </c>
      <c r="U23" s="22">
        <f t="shared" si="4"/>
        <v>0</v>
      </c>
      <c r="V23" s="22">
        <f t="shared" si="4"/>
        <v>385.59999999999985</v>
      </c>
      <c r="W23" s="22">
        <f t="shared" si="4"/>
        <v>172.8999999999996</v>
      </c>
      <c r="X23" s="22">
        <f t="shared" si="4"/>
        <v>70.10000000000001</v>
      </c>
      <c r="Y23" s="22">
        <f t="shared" si="4"/>
        <v>1.1999999999999993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1911.2999999999995</v>
      </c>
      <c r="AG23" s="27">
        <f t="shared" si="3"/>
        <v>5833.300000000004</v>
      </c>
    </row>
    <row r="24" spans="1:33" ht="15" customHeight="1">
      <c r="A24" s="4" t="s">
        <v>7</v>
      </c>
      <c r="B24" s="22">
        <f>21420.7-102.3+771.5</f>
        <v>22089.9</v>
      </c>
      <c r="C24" s="22">
        <v>15943.7</v>
      </c>
      <c r="D24" s="22"/>
      <c r="E24" s="22"/>
      <c r="F24" s="22">
        <v>106</v>
      </c>
      <c r="G24" s="22"/>
      <c r="H24" s="22">
        <v>1041.7</v>
      </c>
      <c r="I24" s="22">
        <v>311.7</v>
      </c>
      <c r="J24" s="26">
        <v>34.6</v>
      </c>
      <c r="K24" s="22"/>
      <c r="L24" s="22">
        <v>6282.6</v>
      </c>
      <c r="M24" s="22">
        <v>1181.1</v>
      </c>
      <c r="N24" s="22">
        <v>3</v>
      </c>
      <c r="O24" s="27"/>
      <c r="P24" s="22">
        <v>2.6</v>
      </c>
      <c r="Q24" s="27"/>
      <c r="R24" s="27"/>
      <c r="S24" s="26">
        <v>1652.6</v>
      </c>
      <c r="T24" s="26">
        <v>596.2</v>
      </c>
      <c r="U24" s="26">
        <v>7</v>
      </c>
      <c r="V24" s="26">
        <v>5652.5</v>
      </c>
      <c r="W24" s="26">
        <v>4804.1</v>
      </c>
      <c r="X24" s="22">
        <v>318</v>
      </c>
      <c r="Y24" s="26">
        <v>14.3</v>
      </c>
      <c r="Z24" s="26"/>
      <c r="AA24" s="26"/>
      <c r="AB24" s="22"/>
      <c r="AC24" s="22"/>
      <c r="AD24" s="22"/>
      <c r="AE24" s="22"/>
      <c r="AF24" s="27">
        <f t="shared" si="1"/>
        <v>22008.000000000004</v>
      </c>
      <c r="AG24" s="27">
        <f t="shared" si="3"/>
        <v>16025.600000000002</v>
      </c>
    </row>
    <row r="25" spans="1:34" s="70" customFormat="1" ht="15" customHeight="1">
      <c r="A25" s="65" t="s">
        <v>47</v>
      </c>
      <c r="B25" s="66">
        <v>15919</v>
      </c>
      <c r="C25" s="66">
        <v>9676.4</v>
      </c>
      <c r="D25" s="66"/>
      <c r="E25" s="66"/>
      <c r="F25" s="66">
        <v>106</v>
      </c>
      <c r="G25" s="66"/>
      <c r="H25" s="66">
        <v>1041.7</v>
      </c>
      <c r="I25" s="66">
        <v>5.3</v>
      </c>
      <c r="J25" s="68">
        <v>34.6</v>
      </c>
      <c r="K25" s="66"/>
      <c r="L25" s="66">
        <v>6282.6</v>
      </c>
      <c r="M25" s="66">
        <v>763.5</v>
      </c>
      <c r="N25" s="66">
        <v>1.2</v>
      </c>
      <c r="O25" s="69"/>
      <c r="P25" s="66"/>
      <c r="Q25" s="69"/>
      <c r="R25" s="69"/>
      <c r="S25" s="68">
        <v>1097.3</v>
      </c>
      <c r="T25" s="68"/>
      <c r="U25" s="68"/>
      <c r="V25" s="68">
        <v>5625.2</v>
      </c>
      <c r="W25" s="68">
        <v>503.1</v>
      </c>
      <c r="X25" s="66">
        <v>138.8</v>
      </c>
      <c r="Y25" s="68">
        <v>14.3</v>
      </c>
      <c r="Z25" s="68"/>
      <c r="AA25" s="68"/>
      <c r="AB25" s="66"/>
      <c r="AC25" s="66"/>
      <c r="AD25" s="66"/>
      <c r="AE25" s="66"/>
      <c r="AF25" s="71">
        <f t="shared" si="1"/>
        <v>15613.6</v>
      </c>
      <c r="AG25" s="71">
        <f t="shared" si="3"/>
        <v>9981.800000000001</v>
      </c>
      <c r="AH25" s="75"/>
    </row>
    <row r="26" spans="1:34" ht="15.75">
      <c r="A26" s="3" t="s">
        <v>5</v>
      </c>
      <c r="B26" s="22">
        <f>14450.6+926.9+771.4</f>
        <v>16148.9</v>
      </c>
      <c r="C26" s="22">
        <v>1814.1</v>
      </c>
      <c r="D26" s="22"/>
      <c r="E26" s="22"/>
      <c r="F26" s="22"/>
      <c r="G26" s="22"/>
      <c r="H26" s="22"/>
      <c r="I26" s="22"/>
      <c r="J26" s="26"/>
      <c r="K26" s="22"/>
      <c r="L26" s="22">
        <v>6282.6</v>
      </c>
      <c r="M26" s="22"/>
      <c r="N26" s="22"/>
      <c r="O26" s="27"/>
      <c r="P26" s="22"/>
      <c r="Q26" s="27"/>
      <c r="R26" s="22"/>
      <c r="S26" s="26"/>
      <c r="T26" s="26"/>
      <c r="U26" s="26"/>
      <c r="V26" s="26">
        <v>5625.2</v>
      </c>
      <c r="W26" s="26">
        <v>3940.4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15848.199999999999</v>
      </c>
      <c r="AG26" s="27">
        <f t="shared" si="3"/>
        <v>2114.800000000001</v>
      </c>
      <c r="AH26" s="6"/>
    </row>
    <row r="27" spans="1:33" ht="15.75">
      <c r="A27" s="3" t="s">
        <v>3</v>
      </c>
      <c r="B27" s="22">
        <f>973.5+19.7+847</f>
        <v>1840.2</v>
      </c>
      <c r="C27" s="22">
        <f>2767-1029.2</f>
        <v>1737.8</v>
      </c>
      <c r="D27" s="22"/>
      <c r="E27" s="22"/>
      <c r="F27" s="22"/>
      <c r="G27" s="22"/>
      <c r="H27" s="22">
        <v>305</v>
      </c>
      <c r="I27" s="22">
        <v>0.3</v>
      </c>
      <c r="J27" s="26"/>
      <c r="K27" s="22"/>
      <c r="L27" s="22"/>
      <c r="M27" s="22">
        <v>507.1</v>
      </c>
      <c r="N27" s="22"/>
      <c r="O27" s="27"/>
      <c r="P27" s="22"/>
      <c r="Q27" s="27"/>
      <c r="R27" s="22"/>
      <c r="S27" s="26">
        <v>593</v>
      </c>
      <c r="T27" s="26">
        <v>42.6</v>
      </c>
      <c r="U27" s="26">
        <v>7</v>
      </c>
      <c r="V27" s="26">
        <v>27.3</v>
      </c>
      <c r="W27" s="26">
        <v>448.8</v>
      </c>
      <c r="X27" s="22">
        <v>265.6</v>
      </c>
      <c r="Y27" s="26"/>
      <c r="Z27" s="26"/>
      <c r="AA27" s="26"/>
      <c r="AB27" s="22"/>
      <c r="AC27" s="22"/>
      <c r="AD27" s="22"/>
      <c r="AE27" s="22"/>
      <c r="AF27" s="27">
        <f t="shared" si="1"/>
        <v>2196.7</v>
      </c>
      <c r="AG27" s="27">
        <f t="shared" si="3"/>
        <v>1381.3000000000002</v>
      </c>
    </row>
    <row r="28" spans="1:33" ht="15.75">
      <c r="A28" s="3" t="s">
        <v>1</v>
      </c>
      <c r="B28" s="22">
        <v>470.3</v>
      </c>
      <c r="C28" s="22">
        <v>38.7</v>
      </c>
      <c r="D28" s="22"/>
      <c r="E28" s="22"/>
      <c r="F28" s="22"/>
      <c r="G28" s="22"/>
      <c r="H28" s="22">
        <v>37.2</v>
      </c>
      <c r="I28" s="22"/>
      <c r="J28" s="26"/>
      <c r="K28" s="22"/>
      <c r="L28" s="22"/>
      <c r="M28" s="22">
        <v>73.8</v>
      </c>
      <c r="N28" s="22"/>
      <c r="O28" s="27"/>
      <c r="P28" s="22"/>
      <c r="Q28" s="27"/>
      <c r="R28" s="22"/>
      <c r="S28" s="26">
        <v>102.3</v>
      </c>
      <c r="T28" s="26"/>
      <c r="U28" s="26"/>
      <c r="V28" s="26"/>
      <c r="W28" s="26">
        <v>177.4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390.70000000000005</v>
      </c>
      <c r="AG28" s="27">
        <f t="shared" si="3"/>
        <v>118.29999999999995</v>
      </c>
    </row>
    <row r="29" spans="1:33" ht="15.75">
      <c r="A29" s="3" t="s">
        <v>2</v>
      </c>
      <c r="B29" s="22">
        <f>4500.3-822.6</f>
        <v>3677.7000000000003</v>
      </c>
      <c r="C29" s="22">
        <v>4308.2</v>
      </c>
      <c r="D29" s="22"/>
      <c r="E29" s="22"/>
      <c r="F29" s="22">
        <v>84.7</v>
      </c>
      <c r="G29" s="22"/>
      <c r="H29" s="22">
        <v>631.5</v>
      </c>
      <c r="I29" s="22">
        <v>300.2</v>
      </c>
      <c r="J29" s="26">
        <v>28.1</v>
      </c>
      <c r="K29" s="22"/>
      <c r="L29" s="22"/>
      <c r="M29" s="22">
        <v>473.4</v>
      </c>
      <c r="N29" s="22">
        <v>1.8</v>
      </c>
      <c r="O29" s="27"/>
      <c r="P29" s="22">
        <v>2.6</v>
      </c>
      <c r="Q29" s="27"/>
      <c r="R29" s="22"/>
      <c r="S29" s="26">
        <v>742.2</v>
      </c>
      <c r="T29" s="26">
        <v>16.5</v>
      </c>
      <c r="U29" s="26"/>
      <c r="V29" s="26"/>
      <c r="W29" s="26">
        <v>84.5</v>
      </c>
      <c r="X29" s="22">
        <v>-12.9</v>
      </c>
      <c r="Y29" s="26">
        <v>12.9</v>
      </c>
      <c r="Z29" s="26"/>
      <c r="AA29" s="26"/>
      <c r="AB29" s="22"/>
      <c r="AC29" s="22"/>
      <c r="AD29" s="22"/>
      <c r="AE29" s="22"/>
      <c r="AF29" s="27">
        <f t="shared" si="1"/>
        <v>2365.5</v>
      </c>
      <c r="AG29" s="27">
        <f t="shared" si="3"/>
        <v>5620.4</v>
      </c>
    </row>
    <row r="30" spans="1:33" ht="15.75">
      <c r="A30" s="3" t="s">
        <v>17</v>
      </c>
      <c r="B30" s="22">
        <f>130.3-56.8</f>
        <v>73.50000000000001</v>
      </c>
      <c r="C30" s="22">
        <v>103.1</v>
      </c>
      <c r="D30" s="22"/>
      <c r="E30" s="22"/>
      <c r="F30" s="22"/>
      <c r="G30" s="22"/>
      <c r="H30" s="22"/>
      <c r="I30" s="22"/>
      <c r="J30" s="26"/>
      <c r="K30" s="22"/>
      <c r="L30" s="22"/>
      <c r="M30" s="22">
        <v>46.9</v>
      </c>
      <c r="N30" s="22"/>
      <c r="O30" s="27"/>
      <c r="P30" s="22"/>
      <c r="Q30" s="27"/>
      <c r="R30" s="22"/>
      <c r="S30" s="26">
        <v>77.6</v>
      </c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124.5</v>
      </c>
      <c r="AG30" s="27">
        <f t="shared" si="3"/>
        <v>52.10000000000002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-120.69999999999847</v>
      </c>
      <c r="C32" s="22">
        <f t="shared" si="5"/>
        <v>7941.8</v>
      </c>
      <c r="D32" s="22">
        <f t="shared" si="5"/>
        <v>0</v>
      </c>
      <c r="E32" s="22">
        <f t="shared" si="5"/>
        <v>0</v>
      </c>
      <c r="F32" s="22">
        <f t="shared" si="5"/>
        <v>21.299999999999997</v>
      </c>
      <c r="G32" s="22">
        <f t="shared" si="5"/>
        <v>0</v>
      </c>
      <c r="H32" s="22">
        <f t="shared" si="5"/>
        <v>68</v>
      </c>
      <c r="I32" s="22">
        <f t="shared" si="5"/>
        <v>11.199999999999989</v>
      </c>
      <c r="J32" s="22">
        <f t="shared" si="5"/>
        <v>6.5</v>
      </c>
      <c r="K32" s="22">
        <f t="shared" si="5"/>
        <v>0</v>
      </c>
      <c r="L32" s="22">
        <f t="shared" si="5"/>
        <v>0</v>
      </c>
      <c r="M32" s="22">
        <f t="shared" si="5"/>
        <v>79.89999999999995</v>
      </c>
      <c r="N32" s="22">
        <f t="shared" si="5"/>
        <v>1.2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137.49999999999991</v>
      </c>
      <c r="T32" s="22">
        <f t="shared" si="5"/>
        <v>537.1</v>
      </c>
      <c r="U32" s="22">
        <f t="shared" si="5"/>
        <v>0</v>
      </c>
      <c r="V32" s="22">
        <f t="shared" si="5"/>
        <v>1.8118839761882555E-13</v>
      </c>
      <c r="W32" s="22">
        <f t="shared" si="5"/>
        <v>153.00000000000026</v>
      </c>
      <c r="X32" s="22">
        <f t="shared" si="5"/>
        <v>65.29999999999998</v>
      </c>
      <c r="Y32" s="22">
        <f t="shared" si="5"/>
        <v>1.4000000000000004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1082.4000000000003</v>
      </c>
      <c r="AG32" s="27">
        <f>AG24-AG26-AG27-AG28-AG29-AG30-AG31</f>
        <v>6738.700000000001</v>
      </c>
    </row>
    <row r="33" spans="1:33" ht="15" customHeight="1">
      <c r="A33" s="4" t="s">
        <v>8</v>
      </c>
      <c r="B33" s="22">
        <f>234</f>
        <v>234</v>
      </c>
      <c r="C33" s="22">
        <f>1055.3-80-327.3</f>
        <v>648</v>
      </c>
      <c r="D33" s="22"/>
      <c r="E33" s="22"/>
      <c r="F33" s="22"/>
      <c r="G33" s="22"/>
      <c r="H33" s="22"/>
      <c r="I33" s="22">
        <v>0.4</v>
      </c>
      <c r="J33" s="26"/>
      <c r="K33" s="22"/>
      <c r="L33" s="22">
        <v>41.6</v>
      </c>
      <c r="M33" s="22">
        <v>43.2</v>
      </c>
      <c r="N33" s="22">
        <v>0.5</v>
      </c>
      <c r="O33" s="27">
        <v>20.2</v>
      </c>
      <c r="P33" s="22">
        <v>4.7</v>
      </c>
      <c r="Q33" s="27"/>
      <c r="R33" s="22">
        <v>5.7</v>
      </c>
      <c r="S33" s="26"/>
      <c r="T33" s="26">
        <v>0.1</v>
      </c>
      <c r="U33" s="26"/>
      <c r="V33" s="26"/>
      <c r="W33" s="26">
        <v>95.1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211.5</v>
      </c>
      <c r="AG33" s="27">
        <f aca="true" t="shared" si="6" ref="AG33:AG38">B33+C33-AF33</f>
        <v>670.5</v>
      </c>
    </row>
    <row r="34" spans="1:33" ht="15.75">
      <c r="A34" s="3" t="s">
        <v>5</v>
      </c>
      <c r="B34" s="22">
        <v>130.1</v>
      </c>
      <c r="C34" s="22">
        <v>33.2</v>
      </c>
      <c r="D34" s="22"/>
      <c r="E34" s="22"/>
      <c r="F34" s="22"/>
      <c r="G34" s="22"/>
      <c r="H34" s="22"/>
      <c r="I34" s="22"/>
      <c r="J34" s="26"/>
      <c r="K34" s="22"/>
      <c r="L34" s="22">
        <v>41.3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95.1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136.39999999999998</v>
      </c>
      <c r="AG34" s="27">
        <f t="shared" si="6"/>
        <v>26.900000000000034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94.9</v>
      </c>
      <c r="C36" s="22">
        <v>228.9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0.5</v>
      </c>
      <c r="O36" s="27">
        <v>20.2</v>
      </c>
      <c r="P36" s="22">
        <v>3.9</v>
      </c>
      <c r="Q36" s="27"/>
      <c r="R36" s="22">
        <v>5.7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30.299999999999997</v>
      </c>
      <c r="AG36" s="27">
        <f t="shared" si="6"/>
        <v>293.5</v>
      </c>
    </row>
    <row r="37" spans="1:33" ht="15.75">
      <c r="A37" s="3" t="s">
        <v>17</v>
      </c>
      <c r="B37" s="22">
        <v>0</v>
      </c>
      <c r="C37" s="22">
        <f>756.8-180-517.3</f>
        <v>59.5</v>
      </c>
      <c r="D37" s="22"/>
      <c r="E37" s="22"/>
      <c r="F37" s="22"/>
      <c r="G37" s="22"/>
      <c r="H37" s="22"/>
      <c r="I37" s="22"/>
      <c r="J37" s="26"/>
      <c r="K37" s="22"/>
      <c r="L37" s="22"/>
      <c r="M37" s="22">
        <v>43.2</v>
      </c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43.2</v>
      </c>
      <c r="AG37" s="27">
        <f t="shared" si="6"/>
        <v>16.299999999999997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</v>
      </c>
      <c r="C39" s="22">
        <f t="shared" si="7"/>
        <v>326.29999999999995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0.4</v>
      </c>
      <c r="J39" s="22">
        <f t="shared" si="7"/>
        <v>0</v>
      </c>
      <c r="K39" s="22">
        <f t="shared" si="7"/>
        <v>0</v>
      </c>
      <c r="L39" s="22">
        <f t="shared" si="7"/>
        <v>0.30000000000000426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0.8000000000000003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1.6000000000000045</v>
      </c>
      <c r="AG39" s="27">
        <f>AG33-AG34-AG36-AG38-AG35-AG37</f>
        <v>333.6999999999999</v>
      </c>
    </row>
    <row r="40" spans="1:33" ht="15" customHeight="1">
      <c r="A40" s="4" t="s">
        <v>33</v>
      </c>
      <c r="B40" s="22">
        <v>705.3</v>
      </c>
      <c r="C40" s="22">
        <v>154.3</v>
      </c>
      <c r="D40" s="22"/>
      <c r="E40" s="22"/>
      <c r="F40" s="22"/>
      <c r="G40" s="22"/>
      <c r="H40" s="22"/>
      <c r="I40" s="22">
        <v>42.7</v>
      </c>
      <c r="J40" s="26"/>
      <c r="K40" s="22"/>
      <c r="L40" s="22">
        <v>215</v>
      </c>
      <c r="M40" s="22">
        <v>1.4</v>
      </c>
      <c r="N40" s="22"/>
      <c r="O40" s="27"/>
      <c r="P40" s="22"/>
      <c r="Q40" s="27"/>
      <c r="R40" s="27">
        <v>13.2</v>
      </c>
      <c r="S40" s="26"/>
      <c r="T40" s="26"/>
      <c r="U40" s="26"/>
      <c r="V40" s="26">
        <v>3.2</v>
      </c>
      <c r="W40" s="26">
        <v>341.3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616.8</v>
      </c>
      <c r="AG40" s="27">
        <f aca="true" t="shared" si="8" ref="AG40:AG45">B40+C40-AF40</f>
        <v>242.79999999999995</v>
      </c>
    </row>
    <row r="41" spans="1:34" ht="15.75">
      <c r="A41" s="3" t="s">
        <v>5</v>
      </c>
      <c r="B41" s="22">
        <v>569.8</v>
      </c>
      <c r="C41" s="22">
        <v>50.6</v>
      </c>
      <c r="D41" s="22"/>
      <c r="E41" s="22"/>
      <c r="F41" s="22"/>
      <c r="G41" s="22"/>
      <c r="H41" s="22"/>
      <c r="I41" s="22"/>
      <c r="J41" s="26"/>
      <c r="K41" s="22"/>
      <c r="L41" s="22">
        <v>215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341.3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556.3</v>
      </c>
      <c r="AG41" s="27">
        <f t="shared" si="8"/>
        <v>64.10000000000002</v>
      </c>
      <c r="AH41" s="6"/>
    </row>
    <row r="42" spans="1:33" ht="15.75">
      <c r="A42" s="3" t="s">
        <v>3</v>
      </c>
      <c r="B42" s="22">
        <v>0.2</v>
      </c>
      <c r="C42" s="22">
        <v>0</v>
      </c>
      <c r="D42" s="22"/>
      <c r="E42" s="22"/>
      <c r="F42" s="22"/>
      <c r="G42" s="22"/>
      <c r="H42" s="22"/>
      <c r="I42" s="22">
        <v>0.2</v>
      </c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0.2</v>
      </c>
      <c r="AG42" s="27">
        <f t="shared" si="8"/>
        <v>0</v>
      </c>
    </row>
    <row r="43" spans="1:33" ht="15.75">
      <c r="A43" s="3" t="s">
        <v>1</v>
      </c>
      <c r="B43" s="22">
        <v>10.2</v>
      </c>
      <c r="C43" s="22">
        <v>4.6</v>
      </c>
      <c r="D43" s="22"/>
      <c r="E43" s="22"/>
      <c r="F43" s="22"/>
      <c r="G43" s="22"/>
      <c r="H43" s="22"/>
      <c r="I43" s="22">
        <v>6.3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6.3</v>
      </c>
      <c r="AG43" s="27">
        <f t="shared" si="8"/>
        <v>8.5</v>
      </c>
    </row>
    <row r="44" spans="1:33" ht="15.75">
      <c r="A44" s="3" t="s">
        <v>2</v>
      </c>
      <c r="B44" s="22">
        <v>96.1</v>
      </c>
      <c r="C44" s="22">
        <v>63.7</v>
      </c>
      <c r="D44" s="22"/>
      <c r="E44" s="22"/>
      <c r="F44" s="22"/>
      <c r="G44" s="22"/>
      <c r="H44" s="22"/>
      <c r="I44" s="22">
        <v>18.9</v>
      </c>
      <c r="J44" s="26"/>
      <c r="K44" s="22"/>
      <c r="L44" s="22"/>
      <c r="M44" s="22"/>
      <c r="N44" s="22"/>
      <c r="O44" s="27"/>
      <c r="P44" s="22"/>
      <c r="Q44" s="22"/>
      <c r="R44" s="22">
        <v>9.9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28.799999999999997</v>
      </c>
      <c r="AG44" s="27">
        <f t="shared" si="8"/>
        <v>131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29.000000000000014</v>
      </c>
      <c r="C46" s="22">
        <f t="shared" si="10"/>
        <v>35.40000000000002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17.300000000000004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1.4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3.299999999999999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25.2</v>
      </c>
      <c r="AG46" s="27">
        <f>AG40-AG41-AG42-AG43-AG44-AG45</f>
        <v>39.19999999999993</v>
      </c>
    </row>
    <row r="47" spans="1:33" ht="17.25" customHeight="1">
      <c r="A47" s="4" t="s">
        <v>70</v>
      </c>
      <c r="B47" s="36">
        <f>1014.9-2.9</f>
        <v>1012</v>
      </c>
      <c r="C47" s="22">
        <f>2166.1-1274.7</f>
        <v>891.3999999999999</v>
      </c>
      <c r="D47" s="22"/>
      <c r="E47" s="28">
        <v>21.8</v>
      </c>
      <c r="F47" s="28">
        <v>20.2</v>
      </c>
      <c r="G47" s="28">
        <v>27.6</v>
      </c>
      <c r="H47" s="28"/>
      <c r="I47" s="28"/>
      <c r="J47" s="29">
        <v>153.5</v>
      </c>
      <c r="K47" s="28"/>
      <c r="L47" s="28">
        <v>5</v>
      </c>
      <c r="M47" s="28"/>
      <c r="N47" s="28">
        <v>17.2</v>
      </c>
      <c r="O47" s="31"/>
      <c r="P47" s="28"/>
      <c r="Q47" s="28">
        <v>40.4</v>
      </c>
      <c r="R47" s="28">
        <v>20.9</v>
      </c>
      <c r="S47" s="29"/>
      <c r="T47" s="29">
        <v>2</v>
      </c>
      <c r="U47" s="28"/>
      <c r="V47" s="28">
        <v>225</v>
      </c>
      <c r="W47" s="28">
        <f>27.8+4.9</f>
        <v>32.7</v>
      </c>
      <c r="X47" s="28">
        <v>23.2</v>
      </c>
      <c r="Y47" s="29"/>
      <c r="Z47" s="29"/>
      <c r="AA47" s="29"/>
      <c r="AB47" s="28"/>
      <c r="AC47" s="28"/>
      <c r="AD47" s="28"/>
      <c r="AE47" s="28"/>
      <c r="AF47" s="27">
        <f t="shared" si="9"/>
        <v>589.5</v>
      </c>
      <c r="AG47" s="27">
        <f>B47+C47-AF47</f>
        <v>1313.8999999999999</v>
      </c>
    </row>
    <row r="48" spans="1:33" ht="15.75">
      <c r="A48" s="3" t="s">
        <v>5</v>
      </c>
      <c r="B48" s="22">
        <v>31.2</v>
      </c>
      <c r="C48" s="22">
        <v>15.2</v>
      </c>
      <c r="D48" s="22"/>
      <c r="E48" s="28"/>
      <c r="F48" s="28"/>
      <c r="G48" s="28">
        <v>23.1</v>
      </c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23.1</v>
      </c>
      <c r="AG48" s="27">
        <f>B48+C48-AF48</f>
        <v>23.299999999999997</v>
      </c>
    </row>
    <row r="49" spans="1:33" ht="15.75">
      <c r="A49" s="3" t="s">
        <v>17</v>
      </c>
      <c r="B49" s="22">
        <f>868+26.7</f>
        <v>894.7</v>
      </c>
      <c r="C49" s="22">
        <f>1557.9-1552.9+517.3</f>
        <v>522.3</v>
      </c>
      <c r="D49" s="22"/>
      <c r="E49" s="22">
        <v>15</v>
      </c>
      <c r="F49" s="22">
        <v>1.8</v>
      </c>
      <c r="G49" s="22"/>
      <c r="H49" s="22"/>
      <c r="I49" s="22"/>
      <c r="J49" s="26">
        <v>133.5</v>
      </c>
      <c r="K49" s="22"/>
      <c r="L49" s="22">
        <v>5</v>
      </c>
      <c r="M49" s="22"/>
      <c r="N49" s="22">
        <v>17</v>
      </c>
      <c r="O49" s="27"/>
      <c r="P49" s="22"/>
      <c r="Q49" s="22">
        <v>40</v>
      </c>
      <c r="R49" s="22"/>
      <c r="S49" s="26"/>
      <c r="T49" s="26">
        <v>2</v>
      </c>
      <c r="U49" s="22"/>
      <c r="V49" s="22">
        <v>213.5</v>
      </c>
      <c r="W49" s="22">
        <v>26.8</v>
      </c>
      <c r="X49" s="22">
        <v>0.2</v>
      </c>
      <c r="Y49" s="26"/>
      <c r="Z49" s="26"/>
      <c r="AA49" s="26"/>
      <c r="AB49" s="22"/>
      <c r="AC49" s="22"/>
      <c r="AD49" s="22"/>
      <c r="AE49" s="22"/>
      <c r="AF49" s="27">
        <f t="shared" si="9"/>
        <v>454.8</v>
      </c>
      <c r="AG49" s="27">
        <f>B49+C49-AF49</f>
        <v>962.2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86.09999999999991</v>
      </c>
      <c r="C51" s="22">
        <f t="shared" si="11"/>
        <v>353.89999999999986</v>
      </c>
      <c r="D51" s="22">
        <f t="shared" si="11"/>
        <v>0</v>
      </c>
      <c r="E51" s="22">
        <f t="shared" si="11"/>
        <v>6.800000000000001</v>
      </c>
      <c r="F51" s="22">
        <f t="shared" si="11"/>
        <v>18.4</v>
      </c>
      <c r="G51" s="22">
        <f t="shared" si="11"/>
        <v>4.5</v>
      </c>
      <c r="H51" s="22">
        <f t="shared" si="11"/>
        <v>0</v>
      </c>
      <c r="I51" s="22">
        <f t="shared" si="11"/>
        <v>0</v>
      </c>
      <c r="J51" s="22">
        <f t="shared" si="11"/>
        <v>20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0.1999999999999993</v>
      </c>
      <c r="O51" s="22">
        <f t="shared" si="11"/>
        <v>0</v>
      </c>
      <c r="P51" s="22">
        <f t="shared" si="11"/>
        <v>0</v>
      </c>
      <c r="Q51" s="22">
        <f t="shared" si="11"/>
        <v>0.3999999999999986</v>
      </c>
      <c r="R51" s="22">
        <f t="shared" si="11"/>
        <v>20.9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11.5</v>
      </c>
      <c r="W51" s="22">
        <f t="shared" si="11"/>
        <v>5.900000000000002</v>
      </c>
      <c r="X51" s="22">
        <f t="shared" si="11"/>
        <v>23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111.60000000000001</v>
      </c>
      <c r="AG51" s="27">
        <f>AG47-AG49-AG48</f>
        <v>328.3999999999998</v>
      </c>
    </row>
    <row r="52" spans="1:33" ht="15" customHeight="1">
      <c r="A52" s="4" t="s">
        <v>0</v>
      </c>
      <c r="B52" s="22">
        <f>3936.9+111.6-295.9</f>
        <v>3752.6</v>
      </c>
      <c r="C52" s="22">
        <v>3101.5</v>
      </c>
      <c r="D52" s="22">
        <v>802.5</v>
      </c>
      <c r="E52" s="22">
        <v>10.4</v>
      </c>
      <c r="F52" s="22">
        <v>368.4</v>
      </c>
      <c r="G52" s="22">
        <v>25</v>
      </c>
      <c r="H52" s="22"/>
      <c r="I52" s="22">
        <v>414.5</v>
      </c>
      <c r="J52" s="26">
        <v>449.3</v>
      </c>
      <c r="K52" s="22">
        <v>643.2</v>
      </c>
      <c r="L52" s="22">
        <v>125</v>
      </c>
      <c r="M52" s="22">
        <v>30.7</v>
      </c>
      <c r="N52" s="22"/>
      <c r="O52" s="27">
        <v>32.1</v>
      </c>
      <c r="P52" s="22">
        <v>466.1</v>
      </c>
      <c r="Q52" s="22">
        <v>198.7</v>
      </c>
      <c r="R52" s="22">
        <v>96.7</v>
      </c>
      <c r="S52" s="26">
        <v>0.1</v>
      </c>
      <c r="T52" s="26">
        <v>73.5</v>
      </c>
      <c r="U52" s="26">
        <v>156.3</v>
      </c>
      <c r="V52" s="26">
        <v>101.7</v>
      </c>
      <c r="W52" s="26">
        <v>133.9</v>
      </c>
      <c r="X52" s="22">
        <v>2</v>
      </c>
      <c r="Y52" s="26"/>
      <c r="Z52" s="26"/>
      <c r="AA52" s="26"/>
      <c r="AB52" s="22"/>
      <c r="AC52" s="22"/>
      <c r="AD52" s="22"/>
      <c r="AE52" s="22"/>
      <c r="AF52" s="27">
        <f t="shared" si="9"/>
        <v>4130.099999999999</v>
      </c>
      <c r="AG52" s="27">
        <f aca="true" t="shared" si="12" ref="AG52:AG59">B52+C52-AF52</f>
        <v>2724.000000000001</v>
      </c>
    </row>
    <row r="53" spans="1:33" ht="15" customHeight="1">
      <c r="A53" s="3" t="s">
        <v>2</v>
      </c>
      <c r="B53" s="22">
        <v>1138.7</v>
      </c>
      <c r="C53" s="22">
        <v>893.8</v>
      </c>
      <c r="D53" s="22"/>
      <c r="E53" s="22">
        <v>1.6</v>
      </c>
      <c r="F53" s="22"/>
      <c r="G53" s="22"/>
      <c r="H53" s="22"/>
      <c r="I53" s="22"/>
      <c r="J53" s="26">
        <v>4.9</v>
      </c>
      <c r="K53" s="22">
        <v>643.2</v>
      </c>
      <c r="L53" s="22">
        <v>21</v>
      </c>
      <c r="M53" s="22"/>
      <c r="N53" s="22"/>
      <c r="O53" s="27"/>
      <c r="P53" s="22"/>
      <c r="Q53" s="22"/>
      <c r="R53" s="22"/>
      <c r="S53" s="26">
        <v>0.1</v>
      </c>
      <c r="T53" s="26">
        <v>73.5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744.3000000000001</v>
      </c>
      <c r="AG53" s="27">
        <f t="shared" si="12"/>
        <v>1288.1999999999998</v>
      </c>
    </row>
    <row r="54" spans="1:34" ht="15" customHeight="1">
      <c r="A54" s="4" t="s">
        <v>9</v>
      </c>
      <c r="B54" s="44">
        <f>4065.5+623.3</f>
        <v>4688.8</v>
      </c>
      <c r="C54" s="22">
        <v>2424.9</v>
      </c>
      <c r="D54" s="22"/>
      <c r="E54" s="22">
        <v>13.6</v>
      </c>
      <c r="F54" s="22">
        <v>171.2</v>
      </c>
      <c r="G54" s="22"/>
      <c r="H54" s="22">
        <v>164.4</v>
      </c>
      <c r="I54" s="22">
        <v>3.2</v>
      </c>
      <c r="J54" s="26"/>
      <c r="K54" s="22">
        <v>0.4</v>
      </c>
      <c r="L54" s="22">
        <v>378.1</v>
      </c>
      <c r="M54" s="22">
        <v>1161.2</v>
      </c>
      <c r="N54" s="22">
        <v>116.7</v>
      </c>
      <c r="O54" s="27">
        <v>0.6</v>
      </c>
      <c r="P54" s="22"/>
      <c r="Q54" s="27">
        <v>51.3</v>
      </c>
      <c r="R54" s="22"/>
      <c r="S54" s="26"/>
      <c r="T54" s="26">
        <v>106.3</v>
      </c>
      <c r="U54" s="26">
        <v>2.9</v>
      </c>
      <c r="V54" s="26">
        <v>90.8</v>
      </c>
      <c r="W54" s="26">
        <v>1490.5</v>
      </c>
      <c r="X54" s="22">
        <v>21.8</v>
      </c>
      <c r="Y54" s="26"/>
      <c r="Z54" s="26"/>
      <c r="AA54" s="26"/>
      <c r="AB54" s="22"/>
      <c r="AC54" s="22"/>
      <c r="AD54" s="22"/>
      <c r="AE54" s="22"/>
      <c r="AF54" s="27">
        <f t="shared" si="9"/>
        <v>3773.0000000000005</v>
      </c>
      <c r="AG54" s="22">
        <f t="shared" si="12"/>
        <v>3340.7000000000003</v>
      </c>
      <c r="AH54" s="6"/>
    </row>
    <row r="55" spans="1:34" ht="15.75">
      <c r="A55" s="3" t="s">
        <v>5</v>
      </c>
      <c r="B55" s="22">
        <f>2911.2+0.1</f>
        <v>2911.2999999999997</v>
      </c>
      <c r="C55" s="22">
        <v>755</v>
      </c>
      <c r="D55" s="22"/>
      <c r="E55" s="22"/>
      <c r="F55" s="22"/>
      <c r="G55" s="22"/>
      <c r="H55" s="22"/>
      <c r="I55" s="22"/>
      <c r="J55" s="26"/>
      <c r="K55" s="22"/>
      <c r="L55" s="22">
        <v>279.3</v>
      </c>
      <c r="M55" s="22">
        <v>1161.2</v>
      </c>
      <c r="N55" s="22"/>
      <c r="O55" s="27"/>
      <c r="P55" s="22"/>
      <c r="Q55" s="27"/>
      <c r="R55" s="22"/>
      <c r="S55" s="26"/>
      <c r="T55" s="26"/>
      <c r="U55" s="26"/>
      <c r="V55" s="26"/>
      <c r="W55" s="26">
        <v>1481.7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2922.2</v>
      </c>
      <c r="AG55" s="22">
        <f t="shared" si="12"/>
        <v>744.0999999999999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547.8+1.4</f>
        <v>549.1999999999999</v>
      </c>
      <c r="C57" s="22">
        <v>896.3</v>
      </c>
      <c r="D57" s="22"/>
      <c r="E57" s="22">
        <v>13.6</v>
      </c>
      <c r="F57" s="22">
        <v>22.8</v>
      </c>
      <c r="G57" s="22"/>
      <c r="H57" s="22">
        <v>18.5</v>
      </c>
      <c r="I57" s="22">
        <v>3.2</v>
      </c>
      <c r="J57" s="26"/>
      <c r="K57" s="22">
        <v>0.4</v>
      </c>
      <c r="L57" s="22">
        <v>59.1</v>
      </c>
      <c r="M57" s="22"/>
      <c r="N57" s="22">
        <v>7.3</v>
      </c>
      <c r="O57" s="27"/>
      <c r="P57" s="22"/>
      <c r="Q57" s="27"/>
      <c r="R57" s="22"/>
      <c r="S57" s="26"/>
      <c r="T57" s="26">
        <v>21.4</v>
      </c>
      <c r="U57" s="26"/>
      <c r="V57" s="26">
        <v>6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152.29999999999998</v>
      </c>
      <c r="AG57" s="22">
        <f t="shared" si="12"/>
        <v>1293.2</v>
      </c>
    </row>
    <row r="58" spans="1:33" ht="15.75">
      <c r="A58" s="3" t="s">
        <v>17</v>
      </c>
      <c r="B58" s="36">
        <v>15.1</v>
      </c>
      <c r="C58" s="22">
        <v>10.3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24.8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24.8</v>
      </c>
      <c r="AG58" s="22">
        <f t="shared" si="12"/>
        <v>0.5999999999999979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1213.2000000000007</v>
      </c>
      <c r="C60" s="22">
        <f t="shared" si="13"/>
        <v>763.3000000000002</v>
      </c>
      <c r="D60" s="22">
        <f t="shared" si="13"/>
        <v>0</v>
      </c>
      <c r="E60" s="22">
        <f t="shared" si="13"/>
        <v>0</v>
      </c>
      <c r="F60" s="22">
        <f t="shared" si="13"/>
        <v>148.39999999999998</v>
      </c>
      <c r="G60" s="22">
        <f t="shared" si="13"/>
        <v>0</v>
      </c>
      <c r="H60" s="22">
        <f t="shared" si="13"/>
        <v>145.9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39.70000000000001</v>
      </c>
      <c r="M60" s="22">
        <f t="shared" si="13"/>
        <v>0</v>
      </c>
      <c r="N60" s="22">
        <f t="shared" si="13"/>
        <v>84.60000000000001</v>
      </c>
      <c r="O60" s="22">
        <f t="shared" si="13"/>
        <v>0.6</v>
      </c>
      <c r="P60" s="22">
        <f t="shared" si="13"/>
        <v>0</v>
      </c>
      <c r="Q60" s="22">
        <f t="shared" si="13"/>
        <v>51.3</v>
      </c>
      <c r="R60" s="22">
        <f t="shared" si="13"/>
        <v>0</v>
      </c>
      <c r="S60" s="22">
        <f t="shared" si="13"/>
        <v>0</v>
      </c>
      <c r="T60" s="22">
        <f t="shared" si="13"/>
        <v>84.9</v>
      </c>
      <c r="U60" s="22">
        <f t="shared" si="13"/>
        <v>2.9</v>
      </c>
      <c r="V60" s="22">
        <f t="shared" si="13"/>
        <v>84.8</v>
      </c>
      <c r="W60" s="22">
        <f t="shared" si="13"/>
        <v>8.799999999999955</v>
      </c>
      <c r="X60" s="22">
        <f t="shared" si="13"/>
        <v>21.8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673.7000000000007</v>
      </c>
      <c r="AG60" s="22">
        <f>AG54-AG55-AG57-AG59-AG56-AG58</f>
        <v>1302.8000000000004</v>
      </c>
    </row>
    <row r="61" spans="1:33" ht="15" customHeight="1">
      <c r="A61" s="4" t="s">
        <v>10</v>
      </c>
      <c r="B61" s="22">
        <v>124.3</v>
      </c>
      <c r="C61" s="22">
        <v>262.6</v>
      </c>
      <c r="D61" s="22"/>
      <c r="E61" s="22"/>
      <c r="F61" s="22">
        <v>25</v>
      </c>
      <c r="G61" s="22">
        <v>3.3</v>
      </c>
      <c r="H61" s="22"/>
      <c r="I61" s="22">
        <v>5.6</v>
      </c>
      <c r="J61" s="26"/>
      <c r="K61" s="22">
        <v>50.7</v>
      </c>
      <c r="L61" s="22">
        <v>4.5</v>
      </c>
      <c r="M61" s="22"/>
      <c r="N61" s="22">
        <v>14.7</v>
      </c>
      <c r="O61" s="27"/>
      <c r="P61" s="22"/>
      <c r="Q61" s="27"/>
      <c r="R61" s="22"/>
      <c r="S61" s="26"/>
      <c r="T61" s="26">
        <v>4.9</v>
      </c>
      <c r="U61" s="26"/>
      <c r="V61" s="26">
        <v>17.2</v>
      </c>
      <c r="W61" s="26">
        <v>42.3</v>
      </c>
      <c r="X61" s="22">
        <v>3.3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171.5</v>
      </c>
      <c r="AG61" s="22">
        <f aca="true" t="shared" si="15" ref="AG61:AG67">B61+C61-AF61</f>
        <v>215.40000000000003</v>
      </c>
    </row>
    <row r="62" spans="1:33" ht="15" customHeight="1">
      <c r="A62" s="4" t="s">
        <v>11</v>
      </c>
      <c r="B62" s="22">
        <f>1454.4+380+298-0.1</f>
        <v>2132.3</v>
      </c>
      <c r="C62" s="22">
        <v>1512.9</v>
      </c>
      <c r="D62" s="22"/>
      <c r="E62" s="22"/>
      <c r="F62" s="22"/>
      <c r="G62" s="22"/>
      <c r="H62" s="22">
        <v>36.8</v>
      </c>
      <c r="I62" s="22">
        <v>55.2</v>
      </c>
      <c r="J62" s="26"/>
      <c r="K62" s="22">
        <v>63.1</v>
      </c>
      <c r="L62" s="22">
        <v>432.8</v>
      </c>
      <c r="M62" s="22">
        <v>43.7</v>
      </c>
      <c r="N62" s="22">
        <v>24.8</v>
      </c>
      <c r="O62" s="27"/>
      <c r="P62" s="22">
        <v>3.1</v>
      </c>
      <c r="Q62" s="27"/>
      <c r="R62" s="22">
        <v>35.9</v>
      </c>
      <c r="S62" s="26"/>
      <c r="T62" s="26">
        <v>40.3</v>
      </c>
      <c r="U62" s="26">
        <v>23.9</v>
      </c>
      <c r="V62" s="26">
        <v>21.4</v>
      </c>
      <c r="W62" s="26">
        <v>763.7</v>
      </c>
      <c r="X62" s="22">
        <v>34.3</v>
      </c>
      <c r="Y62" s="26"/>
      <c r="Z62" s="26"/>
      <c r="AA62" s="26"/>
      <c r="AB62" s="22"/>
      <c r="AC62" s="22"/>
      <c r="AD62" s="22"/>
      <c r="AE62" s="22"/>
      <c r="AF62" s="27">
        <f t="shared" si="14"/>
        <v>1578.9999999999998</v>
      </c>
      <c r="AG62" s="22">
        <f t="shared" si="15"/>
        <v>2066.2000000000007</v>
      </c>
    </row>
    <row r="63" spans="1:34" ht="15.75">
      <c r="A63" s="3" t="s">
        <v>5</v>
      </c>
      <c r="B63" s="22">
        <v>834.2</v>
      </c>
      <c r="C63" s="22">
        <v>250.2</v>
      </c>
      <c r="D63" s="22"/>
      <c r="E63" s="22"/>
      <c r="F63" s="22"/>
      <c r="G63" s="22"/>
      <c r="H63" s="22"/>
      <c r="I63" s="22"/>
      <c r="J63" s="26"/>
      <c r="K63" s="22"/>
      <c r="L63" s="22">
        <v>356</v>
      </c>
      <c r="M63" s="22">
        <v>3.3</v>
      </c>
      <c r="N63" s="22"/>
      <c r="O63" s="27"/>
      <c r="P63" s="22"/>
      <c r="Q63" s="27"/>
      <c r="R63" s="22"/>
      <c r="S63" s="26"/>
      <c r="T63" s="26"/>
      <c r="U63" s="26">
        <v>1.1</v>
      </c>
      <c r="V63" s="26"/>
      <c r="W63" s="26">
        <v>497.6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858</v>
      </c>
      <c r="AG63" s="22">
        <f t="shared" si="15"/>
        <v>226.4000000000001</v>
      </c>
      <c r="AH63" s="64"/>
    </row>
    <row r="64" spans="1:34" ht="15.75">
      <c r="A64" s="3" t="s">
        <v>3</v>
      </c>
      <c r="B64" s="22">
        <v>3</v>
      </c>
      <c r="C64" s="22">
        <v>6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>
        <v>1.4</v>
      </c>
      <c r="U64" s="26">
        <v>1.5</v>
      </c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2.9</v>
      </c>
      <c r="AG64" s="22">
        <f t="shared" si="15"/>
        <v>6.1</v>
      </c>
      <c r="AH64" s="6"/>
    </row>
    <row r="65" spans="1:34" ht="15.75">
      <c r="A65" s="3" t="s">
        <v>1</v>
      </c>
      <c r="B65" s="22">
        <v>27.4</v>
      </c>
      <c r="C65" s="22">
        <v>48</v>
      </c>
      <c r="D65" s="22"/>
      <c r="E65" s="22"/>
      <c r="F65" s="22"/>
      <c r="G65" s="22"/>
      <c r="H65" s="22"/>
      <c r="I65" s="22">
        <v>0.3</v>
      </c>
      <c r="J65" s="26"/>
      <c r="K65" s="22">
        <v>15</v>
      </c>
      <c r="L65" s="22"/>
      <c r="M65" s="22"/>
      <c r="N65" s="22">
        <v>7.8</v>
      </c>
      <c r="O65" s="27"/>
      <c r="P65" s="22">
        <v>1.8</v>
      </c>
      <c r="Q65" s="27"/>
      <c r="R65" s="22">
        <v>1.7</v>
      </c>
      <c r="S65" s="26"/>
      <c r="T65" s="26">
        <v>2.6</v>
      </c>
      <c r="U65" s="26">
        <v>1.3</v>
      </c>
      <c r="V65" s="26"/>
      <c r="W65" s="26">
        <v>2.8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33.300000000000004</v>
      </c>
      <c r="AG65" s="22">
        <f t="shared" si="15"/>
        <v>42.1</v>
      </c>
      <c r="AH65" s="6"/>
    </row>
    <row r="66" spans="1:33" ht="15.75">
      <c r="A66" s="3" t="s">
        <v>2</v>
      </c>
      <c r="B66" s="22">
        <v>130.6</v>
      </c>
      <c r="C66" s="22">
        <v>248.6</v>
      </c>
      <c r="D66" s="22"/>
      <c r="E66" s="22"/>
      <c r="F66" s="22"/>
      <c r="G66" s="22"/>
      <c r="H66" s="22">
        <v>0.5</v>
      </c>
      <c r="I66" s="22">
        <v>4.3</v>
      </c>
      <c r="J66" s="26"/>
      <c r="K66" s="22">
        <v>12.2</v>
      </c>
      <c r="L66" s="22"/>
      <c r="M66" s="22"/>
      <c r="N66" s="22"/>
      <c r="O66" s="27"/>
      <c r="P66" s="22"/>
      <c r="Q66" s="22"/>
      <c r="R66" s="22">
        <v>0.4</v>
      </c>
      <c r="S66" s="26"/>
      <c r="T66" s="26">
        <v>18.8</v>
      </c>
      <c r="U66" s="26">
        <v>1.4</v>
      </c>
      <c r="V66" s="26"/>
      <c r="W66" s="26">
        <v>1.7</v>
      </c>
      <c r="X66" s="22">
        <v>0.1</v>
      </c>
      <c r="Y66" s="26"/>
      <c r="Z66" s="26"/>
      <c r="AA66" s="26"/>
      <c r="AB66" s="22"/>
      <c r="AC66" s="22"/>
      <c r="AD66" s="22"/>
      <c r="AE66" s="22"/>
      <c r="AF66" s="27">
        <f t="shared" si="14"/>
        <v>39.400000000000006</v>
      </c>
      <c r="AG66" s="22">
        <f t="shared" si="15"/>
        <v>339.79999999999995</v>
      </c>
    </row>
    <row r="67" spans="1:33" ht="15.75">
      <c r="A67" s="3" t="s">
        <v>17</v>
      </c>
      <c r="B67" s="22">
        <v>80</v>
      </c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>
        <v>40</v>
      </c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1057.1000000000001</v>
      </c>
      <c r="C68" s="22">
        <f t="shared" si="16"/>
        <v>960.1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36.3</v>
      </c>
      <c r="I68" s="22">
        <f t="shared" si="16"/>
        <v>50.60000000000001</v>
      </c>
      <c r="J68" s="22">
        <f t="shared" si="16"/>
        <v>0</v>
      </c>
      <c r="K68" s="22">
        <f t="shared" si="16"/>
        <v>35.900000000000006</v>
      </c>
      <c r="L68" s="22">
        <f t="shared" si="16"/>
        <v>76.80000000000001</v>
      </c>
      <c r="M68" s="22">
        <f t="shared" si="16"/>
        <v>40.400000000000006</v>
      </c>
      <c r="N68" s="22">
        <f t="shared" si="16"/>
        <v>17</v>
      </c>
      <c r="O68" s="22">
        <f t="shared" si="16"/>
        <v>0</v>
      </c>
      <c r="P68" s="22">
        <f t="shared" si="16"/>
        <v>1.3</v>
      </c>
      <c r="Q68" s="22">
        <f t="shared" si="16"/>
        <v>0</v>
      </c>
      <c r="R68" s="22">
        <f t="shared" si="16"/>
        <v>33.8</v>
      </c>
      <c r="S68" s="22">
        <f t="shared" si="16"/>
        <v>0</v>
      </c>
      <c r="T68" s="22">
        <f t="shared" si="16"/>
        <v>17.499999999999996</v>
      </c>
      <c r="U68" s="22">
        <f t="shared" si="16"/>
        <v>18.599999999999998</v>
      </c>
      <c r="V68" s="22">
        <f t="shared" si="16"/>
        <v>21.4</v>
      </c>
      <c r="W68" s="22">
        <f t="shared" si="16"/>
        <v>221.60000000000002</v>
      </c>
      <c r="X68" s="22">
        <f t="shared" si="16"/>
        <v>34.199999999999996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605.4000000000001</v>
      </c>
      <c r="AG68" s="22">
        <f>AG62-AG63-AG66-AG67-AG65-AG64</f>
        <v>1411.8000000000009</v>
      </c>
    </row>
    <row r="69" spans="1:33" ht="31.5">
      <c r="A69" s="4" t="s">
        <v>32</v>
      </c>
      <c r="B69" s="22">
        <f>3271.2+500-20.8</f>
        <v>3750.3999999999996</v>
      </c>
      <c r="C69" s="22">
        <v>20.8</v>
      </c>
      <c r="D69" s="22"/>
      <c r="E69" s="22"/>
      <c r="F69" s="22"/>
      <c r="G69" s="22">
        <v>1734.7</v>
      </c>
      <c r="H69" s="22"/>
      <c r="I69" s="22"/>
      <c r="J69" s="26"/>
      <c r="K69" s="22"/>
      <c r="L69" s="22"/>
      <c r="M69" s="22"/>
      <c r="N69" s="22">
        <v>500</v>
      </c>
      <c r="O69" s="22"/>
      <c r="P69" s="22"/>
      <c r="Q69" s="22"/>
      <c r="R69" s="22"/>
      <c r="S69" s="26"/>
      <c r="T69" s="26">
        <v>1536.4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3771.1</v>
      </c>
      <c r="AG69" s="30">
        <f aca="true" t="shared" si="17" ref="AG69:AG92">B69+C69-AF69</f>
        <v>0.09999999999990905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870.2-4.5</f>
        <v>865.7</v>
      </c>
      <c r="C72" s="22">
        <f>3502.6-1688.8</f>
        <v>1813.8</v>
      </c>
      <c r="D72" s="22"/>
      <c r="E72" s="22">
        <v>156.5</v>
      </c>
      <c r="F72" s="22"/>
      <c r="G72" s="22">
        <v>56</v>
      </c>
      <c r="H72" s="22">
        <v>61.7</v>
      </c>
      <c r="I72" s="22">
        <v>9.4</v>
      </c>
      <c r="J72" s="26">
        <v>8.8</v>
      </c>
      <c r="K72" s="22">
        <f>43.8+16.4</f>
        <v>60.199999999999996</v>
      </c>
      <c r="L72" s="22">
        <v>2.2</v>
      </c>
      <c r="M72" s="22">
        <v>2.7</v>
      </c>
      <c r="N72" s="22">
        <v>8.3</v>
      </c>
      <c r="O72" s="22">
        <v>31.1</v>
      </c>
      <c r="P72" s="22">
        <v>3.2</v>
      </c>
      <c r="Q72" s="27">
        <v>7.1</v>
      </c>
      <c r="R72" s="22">
        <v>18</v>
      </c>
      <c r="S72" s="26"/>
      <c r="T72" s="26">
        <v>11.1</v>
      </c>
      <c r="U72" s="26">
        <v>248.2</v>
      </c>
      <c r="V72" s="26"/>
      <c r="W72" s="26">
        <v>42.5</v>
      </c>
      <c r="X72" s="22">
        <v>17.7</v>
      </c>
      <c r="Y72" s="26">
        <v>1.3</v>
      </c>
      <c r="Z72" s="26"/>
      <c r="AA72" s="26"/>
      <c r="AB72" s="22"/>
      <c r="AC72" s="22"/>
      <c r="AD72" s="22"/>
      <c r="AE72" s="22"/>
      <c r="AF72" s="27">
        <f t="shared" si="14"/>
        <v>746</v>
      </c>
      <c r="AG72" s="30">
        <f t="shared" si="17"/>
        <v>1933.5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>
        <v>17.7</v>
      </c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192.3</v>
      </c>
      <c r="C74" s="22">
        <f>519.8-339.2</f>
        <v>180.59999999999997</v>
      </c>
      <c r="D74" s="22"/>
      <c r="E74" s="22">
        <v>37.9</v>
      </c>
      <c r="F74" s="22"/>
      <c r="G74" s="22"/>
      <c r="H74" s="22">
        <v>0.6</v>
      </c>
      <c r="I74" s="22"/>
      <c r="J74" s="26"/>
      <c r="K74" s="22"/>
      <c r="L74" s="22">
        <v>0.2</v>
      </c>
      <c r="M74" s="22"/>
      <c r="N74" s="22">
        <v>6.1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44.800000000000004</v>
      </c>
      <c r="AG74" s="30">
        <f t="shared" si="17"/>
        <v>328.09999999999997</v>
      </c>
    </row>
    <row r="75" spans="1:33" ht="15" customHeight="1">
      <c r="A75" s="3" t="s">
        <v>17</v>
      </c>
      <c r="B75" s="22">
        <v>90</v>
      </c>
      <c r="C75" s="22">
        <f>207.1-20</f>
        <v>187.1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108.7</v>
      </c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111.60000000000001</v>
      </c>
      <c r="AG75" s="30">
        <f t="shared" si="17"/>
        <v>165.5</v>
      </c>
    </row>
    <row r="76" spans="1:33" s="11" customFormat="1" ht="31.5">
      <c r="A76" s="12" t="s">
        <v>21</v>
      </c>
      <c r="B76" s="22">
        <v>97.5</v>
      </c>
      <c r="C76" s="22">
        <f>303-82.4</f>
        <v>220.6</v>
      </c>
      <c r="D76" s="22">
        <v>6.7</v>
      </c>
      <c r="E76" s="28"/>
      <c r="F76" s="28"/>
      <c r="G76" s="28"/>
      <c r="H76" s="28"/>
      <c r="I76" s="28"/>
      <c r="J76" s="29"/>
      <c r="K76" s="28"/>
      <c r="L76" s="28">
        <v>42.3</v>
      </c>
      <c r="M76" s="28"/>
      <c r="N76" s="28"/>
      <c r="O76" s="28"/>
      <c r="P76" s="28"/>
      <c r="Q76" s="31"/>
      <c r="R76" s="28">
        <v>4.9</v>
      </c>
      <c r="S76" s="29"/>
      <c r="T76" s="29"/>
      <c r="U76" s="28"/>
      <c r="V76" s="28"/>
      <c r="W76" s="28">
        <v>48.5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102.4</v>
      </c>
      <c r="AG76" s="30">
        <f t="shared" si="17"/>
        <v>215.70000000000002</v>
      </c>
    </row>
    <row r="77" spans="1:33" s="11" customFormat="1" ht="15.75">
      <c r="A77" s="3" t="s">
        <v>5</v>
      </c>
      <c r="B77" s="22">
        <v>73.2</v>
      </c>
      <c r="C77" s="22">
        <v>3.8</v>
      </c>
      <c r="D77" s="22"/>
      <c r="E77" s="28"/>
      <c r="F77" s="28"/>
      <c r="G77" s="28"/>
      <c r="H77" s="28"/>
      <c r="I77" s="28"/>
      <c r="J77" s="29"/>
      <c r="K77" s="28"/>
      <c r="L77" s="28">
        <v>33.6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39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72.6</v>
      </c>
      <c r="AG77" s="30">
        <f t="shared" si="17"/>
        <v>4.400000000000006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4.4</v>
      </c>
      <c r="C80" s="22">
        <v>4</v>
      </c>
      <c r="D80" s="22"/>
      <c r="E80" s="28"/>
      <c r="F80" s="28"/>
      <c r="G80" s="28"/>
      <c r="H80" s="28"/>
      <c r="I80" s="28"/>
      <c r="J80" s="29"/>
      <c r="K80" s="28"/>
      <c r="L80" s="28">
        <v>2.3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2.3</v>
      </c>
      <c r="AG80" s="30">
        <f t="shared" si="17"/>
        <v>6.1000000000000005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154.1</v>
      </c>
      <c r="D83" s="28"/>
      <c r="E83" s="28"/>
      <c r="F83" s="28"/>
      <c r="G83" s="28"/>
      <c r="H83" s="28"/>
      <c r="I83" s="28"/>
      <c r="J83" s="28">
        <v>154.1</v>
      </c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154.1</v>
      </c>
      <c r="AG83" s="22">
        <f t="shared" si="17"/>
        <v>0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3220</v>
      </c>
      <c r="D88" s="22"/>
      <c r="E88" s="22"/>
      <c r="F88" s="22"/>
      <c r="G88" s="22"/>
      <c r="H88" s="22">
        <v>2620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2620</v>
      </c>
      <c r="AG88" s="22">
        <f t="shared" si="17"/>
        <v>600</v>
      </c>
      <c r="AH88" s="11"/>
    </row>
    <row r="89" spans="1:34" ht="15.75">
      <c r="A89" s="4" t="s">
        <v>45</v>
      </c>
      <c r="B89" s="22">
        <f>3479.4+8.4+185.3</f>
        <v>3673.1000000000004</v>
      </c>
      <c r="C89" s="22">
        <v>4186</v>
      </c>
      <c r="D89" s="22">
        <v>409</v>
      </c>
      <c r="E89" s="22"/>
      <c r="F89" s="22">
        <v>115.9</v>
      </c>
      <c r="G89" s="22"/>
      <c r="H89" s="22"/>
      <c r="I89" s="22"/>
      <c r="J89" s="22">
        <v>2707</v>
      </c>
      <c r="K89" s="22"/>
      <c r="L89" s="22">
        <v>23.9</v>
      </c>
      <c r="M89" s="22"/>
      <c r="N89" s="22">
        <v>196.6</v>
      </c>
      <c r="O89" s="22">
        <v>96.9</v>
      </c>
      <c r="P89" s="22">
        <v>110</v>
      </c>
      <c r="Q89" s="22"/>
      <c r="R89" s="22">
        <v>1.9</v>
      </c>
      <c r="S89" s="26"/>
      <c r="T89" s="26"/>
      <c r="U89" s="22">
        <v>171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3832.2000000000003</v>
      </c>
      <c r="AG89" s="22">
        <f t="shared" si="17"/>
        <v>4026.9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758.9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996</v>
      </c>
      <c r="AH91" s="11"/>
    </row>
    <row r="92" spans="1:34" ht="15.75">
      <c r="A92" s="4" t="s">
        <v>44</v>
      </c>
      <c r="B92" s="22">
        <f>23474.4-1038.5+1534-500+735.8-424.7+199.1</f>
        <v>23980.1</v>
      </c>
      <c r="C92" s="22">
        <v>211</v>
      </c>
      <c r="D92" s="22">
        <v>8228.4</v>
      </c>
      <c r="E92" s="22">
        <v>4743.5</v>
      </c>
      <c r="F92" s="22">
        <v>940.3</v>
      </c>
      <c r="G92" s="22">
        <v>204.9</v>
      </c>
      <c r="H92" s="22">
        <v>1286.7</v>
      </c>
      <c r="I92" s="22">
        <v>5673.6</v>
      </c>
      <c r="J92" s="22"/>
      <c r="K92" s="22">
        <v>7</v>
      </c>
      <c r="L92" s="22"/>
      <c r="M92" s="22"/>
      <c r="N92" s="22"/>
      <c r="O92" s="22">
        <v>22.5</v>
      </c>
      <c r="P92" s="22"/>
      <c r="Q92" s="22">
        <v>4.6</v>
      </c>
      <c r="R92" s="22"/>
      <c r="S92" s="26"/>
      <c r="T92" s="26"/>
      <c r="U92" s="22"/>
      <c r="V92" s="22">
        <v>22.2</v>
      </c>
      <c r="W92" s="22"/>
      <c r="X92" s="26">
        <v>2722.1</v>
      </c>
      <c r="Y92" s="26"/>
      <c r="Z92" s="26"/>
      <c r="AA92" s="26"/>
      <c r="AB92" s="22"/>
      <c r="AC92" s="22"/>
      <c r="AD92" s="22"/>
      <c r="AE92" s="22"/>
      <c r="AF92" s="27">
        <f t="shared" si="14"/>
        <v>23855.8</v>
      </c>
      <c r="AG92" s="22">
        <f t="shared" si="17"/>
        <v>335.2999999999993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119914.1</v>
      </c>
      <c r="C94" s="42">
        <f t="shared" si="18"/>
        <v>72013.8</v>
      </c>
      <c r="D94" s="42">
        <f t="shared" si="18"/>
        <v>9499.1</v>
      </c>
      <c r="E94" s="42">
        <f t="shared" si="18"/>
        <v>5009.9</v>
      </c>
      <c r="F94" s="42">
        <f t="shared" si="18"/>
        <v>1793.6999999999998</v>
      </c>
      <c r="G94" s="42">
        <f t="shared" si="18"/>
        <v>2161.9</v>
      </c>
      <c r="H94" s="42">
        <f t="shared" si="18"/>
        <v>6617.099999999999</v>
      </c>
      <c r="I94" s="42">
        <f t="shared" si="18"/>
        <v>7120.6</v>
      </c>
      <c r="J94" s="42">
        <f t="shared" si="18"/>
        <v>3629.8</v>
      </c>
      <c r="K94" s="42">
        <f t="shared" si="18"/>
        <v>1920.3000000000002</v>
      </c>
      <c r="L94" s="42">
        <f t="shared" si="18"/>
        <v>14265.9</v>
      </c>
      <c r="M94" s="42">
        <f t="shared" si="18"/>
        <v>11995.800000000003</v>
      </c>
      <c r="N94" s="42">
        <f t="shared" si="18"/>
        <v>1026.8999999999999</v>
      </c>
      <c r="O94" s="42">
        <f t="shared" si="18"/>
        <v>849.8000000000001</v>
      </c>
      <c r="P94" s="42">
        <f t="shared" si="18"/>
        <v>910.5000000000001</v>
      </c>
      <c r="Q94" s="42">
        <f t="shared" si="18"/>
        <v>2270.3</v>
      </c>
      <c r="R94" s="42">
        <f t="shared" si="18"/>
        <v>388.7999999999999</v>
      </c>
      <c r="S94" s="42">
        <f t="shared" si="18"/>
        <v>1695.8999999999999</v>
      </c>
      <c r="T94" s="42">
        <f t="shared" si="18"/>
        <v>3523.2999999999997</v>
      </c>
      <c r="U94" s="42">
        <f t="shared" si="18"/>
        <v>6853.499999999999</v>
      </c>
      <c r="V94" s="42">
        <f t="shared" si="18"/>
        <v>8340.900000000001</v>
      </c>
      <c r="W94" s="42">
        <f t="shared" si="18"/>
        <v>18371.8</v>
      </c>
      <c r="X94" s="42">
        <f t="shared" si="18"/>
        <v>4522.3</v>
      </c>
      <c r="Y94" s="42">
        <f t="shared" si="18"/>
        <v>844.2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113612.30000000003</v>
      </c>
      <c r="AG94" s="58">
        <f>AG10+AG15+AG24+AG33+AG47+AG52+AG54+AG61+AG62+AG69+AG71+AG72+AG76+AG81+AG82+AG83+AG88+AG89+AG90+AG91+AG70+AG40+AG92</f>
        <v>78315.6</v>
      </c>
    </row>
    <row r="95" spans="1:33" ht="15.75">
      <c r="A95" s="3" t="s">
        <v>5</v>
      </c>
      <c r="B95" s="22">
        <f aca="true" t="shared" si="19" ref="B95:AD95">B11+B17+B26+B34+B55+B63+B73+B41+B77+B48</f>
        <v>52935.19999999999</v>
      </c>
      <c r="C95" s="22">
        <f t="shared" si="19"/>
        <v>6352.1</v>
      </c>
      <c r="D95" s="22">
        <f t="shared" si="19"/>
        <v>0</v>
      </c>
      <c r="E95" s="22">
        <f t="shared" si="19"/>
        <v>13.3</v>
      </c>
      <c r="F95" s="22">
        <f t="shared" si="19"/>
        <v>0</v>
      </c>
      <c r="G95" s="22">
        <f t="shared" si="19"/>
        <v>23.1</v>
      </c>
      <c r="H95" s="22">
        <f t="shared" si="19"/>
        <v>0</v>
      </c>
      <c r="I95" s="22">
        <f t="shared" si="19"/>
        <v>32.3</v>
      </c>
      <c r="J95" s="22">
        <f t="shared" si="19"/>
        <v>21</v>
      </c>
      <c r="K95" s="22">
        <f t="shared" si="19"/>
        <v>130.70000000000002</v>
      </c>
      <c r="L95" s="22">
        <f t="shared" si="19"/>
        <v>13909.8</v>
      </c>
      <c r="M95" s="22">
        <f t="shared" si="19"/>
        <v>7365.4</v>
      </c>
      <c r="N95" s="22">
        <f t="shared" si="19"/>
        <v>0</v>
      </c>
      <c r="O95" s="22">
        <f t="shared" si="19"/>
        <v>13.7</v>
      </c>
      <c r="P95" s="22">
        <f t="shared" si="19"/>
        <v>247.2</v>
      </c>
      <c r="Q95" s="22">
        <f t="shared" si="19"/>
        <v>1.5</v>
      </c>
      <c r="R95" s="22">
        <f t="shared" si="19"/>
        <v>0</v>
      </c>
      <c r="S95" s="22">
        <f t="shared" si="19"/>
        <v>1.5</v>
      </c>
      <c r="T95" s="22">
        <f t="shared" si="19"/>
        <v>0</v>
      </c>
      <c r="U95" s="22">
        <f t="shared" si="19"/>
        <v>6234.5</v>
      </c>
      <c r="V95" s="22">
        <f t="shared" si="19"/>
        <v>5625.2</v>
      </c>
      <c r="W95" s="22">
        <f t="shared" si="19"/>
        <v>16440.9</v>
      </c>
      <c r="X95" s="22">
        <f t="shared" si="19"/>
        <v>1264.5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51324.6</v>
      </c>
      <c r="AG95" s="27">
        <f>B95+C95-AF95</f>
        <v>7962.69999999999</v>
      </c>
    </row>
    <row r="96" spans="1:33" ht="15.75">
      <c r="A96" s="3" t="s">
        <v>2</v>
      </c>
      <c r="B96" s="22">
        <f aca="true" t="shared" si="20" ref="B96:AD96">B12+B20+B29+B36+B57+B66+B44+B80+B74+B53</f>
        <v>16080.400000000001</v>
      </c>
      <c r="C96" s="22">
        <f t="shared" si="20"/>
        <v>28265.1</v>
      </c>
      <c r="D96" s="22">
        <f t="shared" si="20"/>
        <v>15.8</v>
      </c>
      <c r="E96" s="22">
        <f t="shared" si="20"/>
        <v>53.1</v>
      </c>
      <c r="F96" s="22">
        <f t="shared" si="20"/>
        <v>107.5</v>
      </c>
      <c r="G96" s="22">
        <f t="shared" si="20"/>
        <v>0</v>
      </c>
      <c r="H96" s="22">
        <f t="shared" si="20"/>
        <v>1337.8</v>
      </c>
      <c r="I96" s="22">
        <f t="shared" si="20"/>
        <v>342.09999999999997</v>
      </c>
      <c r="J96" s="22">
        <f t="shared" si="20"/>
        <v>38.5</v>
      </c>
      <c r="K96" s="22">
        <f t="shared" si="20"/>
        <v>655.8000000000001</v>
      </c>
      <c r="L96" s="22">
        <f t="shared" si="20"/>
        <v>82.6</v>
      </c>
      <c r="M96" s="22">
        <f t="shared" si="20"/>
        <v>2962.8</v>
      </c>
      <c r="N96" s="22">
        <f t="shared" si="20"/>
        <v>15.7</v>
      </c>
      <c r="O96" s="22">
        <f t="shared" si="20"/>
        <v>322.9</v>
      </c>
      <c r="P96" s="22">
        <f t="shared" si="20"/>
        <v>7.4</v>
      </c>
      <c r="Q96" s="22">
        <f t="shared" si="20"/>
        <v>429.3</v>
      </c>
      <c r="R96" s="22">
        <f t="shared" si="20"/>
        <v>146.9</v>
      </c>
      <c r="S96" s="22">
        <f t="shared" si="20"/>
        <v>742.3000000000001</v>
      </c>
      <c r="T96" s="22">
        <f t="shared" si="20"/>
        <v>763.0999999999999</v>
      </c>
      <c r="U96" s="22">
        <f t="shared" si="20"/>
        <v>1.4</v>
      </c>
      <c r="V96" s="22">
        <f t="shared" si="20"/>
        <v>390.1</v>
      </c>
      <c r="W96" s="22">
        <f t="shared" si="20"/>
        <v>169.79999999999998</v>
      </c>
      <c r="X96" s="22">
        <f t="shared" si="20"/>
        <v>-0.8000000000000004</v>
      </c>
      <c r="Y96" s="22">
        <f t="shared" si="20"/>
        <v>12.9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8596.999999999998</v>
      </c>
      <c r="AG96" s="27">
        <f>B96+C96-AF96</f>
        <v>35748.5</v>
      </c>
    </row>
    <row r="97" spans="1:33" ht="15.75">
      <c r="A97" s="3" t="s">
        <v>3</v>
      </c>
      <c r="B97" s="22">
        <f aca="true" t="shared" si="21" ref="B97:AA97">B18+B27+B42+B64+B78</f>
        <v>1848.2</v>
      </c>
      <c r="C97" s="22">
        <f t="shared" si="21"/>
        <v>1768.8999999999999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305</v>
      </c>
      <c r="I97" s="22">
        <f t="shared" si="21"/>
        <v>0.5</v>
      </c>
      <c r="J97" s="22">
        <f t="shared" si="21"/>
        <v>1.2</v>
      </c>
      <c r="K97" s="22">
        <f t="shared" si="21"/>
        <v>0</v>
      </c>
      <c r="L97" s="22">
        <f t="shared" si="21"/>
        <v>0</v>
      </c>
      <c r="M97" s="22">
        <f t="shared" si="21"/>
        <v>509.90000000000003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0.3</v>
      </c>
      <c r="R97" s="22">
        <f t="shared" si="21"/>
        <v>0.4</v>
      </c>
      <c r="S97" s="22">
        <f t="shared" si="21"/>
        <v>593</v>
      </c>
      <c r="T97" s="22">
        <f t="shared" si="21"/>
        <v>45.5</v>
      </c>
      <c r="U97" s="22">
        <f t="shared" si="21"/>
        <v>8.5</v>
      </c>
      <c r="V97" s="22">
        <f t="shared" si="21"/>
        <v>33.1</v>
      </c>
      <c r="W97" s="22">
        <f t="shared" si="21"/>
        <v>449.90000000000003</v>
      </c>
      <c r="X97" s="22">
        <f t="shared" si="21"/>
        <v>265.6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2212.9</v>
      </c>
      <c r="AG97" s="27">
        <f>B97+C97-AF97</f>
        <v>1404.1999999999998</v>
      </c>
    </row>
    <row r="98" spans="1:33" ht="15.75">
      <c r="A98" s="3" t="s">
        <v>1</v>
      </c>
      <c r="B98" s="22">
        <f aca="true" t="shared" si="22" ref="B98:AD98">B19+B28+B65+B35+B43+B56+B79</f>
        <v>3885.7000000000003</v>
      </c>
      <c r="C98" s="22">
        <f t="shared" si="22"/>
        <v>4286.6</v>
      </c>
      <c r="D98" s="22">
        <f t="shared" si="22"/>
        <v>36.7</v>
      </c>
      <c r="E98" s="22">
        <f t="shared" si="22"/>
        <v>2.9</v>
      </c>
      <c r="F98" s="22">
        <f t="shared" si="22"/>
        <v>0</v>
      </c>
      <c r="G98" s="22">
        <f t="shared" si="22"/>
        <v>0</v>
      </c>
      <c r="H98" s="22">
        <f t="shared" si="22"/>
        <v>466.5</v>
      </c>
      <c r="I98" s="22">
        <f t="shared" si="22"/>
        <v>462.5</v>
      </c>
      <c r="J98" s="22">
        <f t="shared" si="22"/>
        <v>49.9</v>
      </c>
      <c r="K98" s="22">
        <f t="shared" si="22"/>
        <v>174.4</v>
      </c>
      <c r="L98" s="22">
        <f t="shared" si="22"/>
        <v>0</v>
      </c>
      <c r="M98" s="22">
        <f t="shared" si="22"/>
        <v>102.6</v>
      </c>
      <c r="N98" s="22">
        <f t="shared" si="22"/>
        <v>125.7</v>
      </c>
      <c r="O98" s="22">
        <f t="shared" si="22"/>
        <v>269.4</v>
      </c>
      <c r="P98" s="22">
        <f t="shared" si="22"/>
        <v>1.8</v>
      </c>
      <c r="Q98" s="22">
        <f t="shared" si="22"/>
        <v>317</v>
      </c>
      <c r="R98" s="22">
        <f t="shared" si="22"/>
        <v>1.7</v>
      </c>
      <c r="S98" s="22">
        <f t="shared" si="22"/>
        <v>102.3</v>
      </c>
      <c r="T98" s="22">
        <f t="shared" si="22"/>
        <v>226.29999999999998</v>
      </c>
      <c r="U98" s="22">
        <f t="shared" si="22"/>
        <v>1.3</v>
      </c>
      <c r="V98" s="22">
        <f t="shared" si="22"/>
        <v>903.7</v>
      </c>
      <c r="W98" s="22">
        <f t="shared" si="22"/>
        <v>390.3</v>
      </c>
      <c r="X98" s="22">
        <f t="shared" si="22"/>
        <v>43.7</v>
      </c>
      <c r="Y98" s="22">
        <f t="shared" si="22"/>
        <v>21.8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3700.500000000001</v>
      </c>
      <c r="AG98" s="27">
        <f>B98+C98-AF98</f>
        <v>4471.8</v>
      </c>
    </row>
    <row r="99" spans="1:33" ht="15.75">
      <c r="A99" s="3" t="s">
        <v>17</v>
      </c>
      <c r="B99" s="22">
        <f aca="true" t="shared" si="23" ref="B99:X99">B21+B30+B49+B37+B58+B13+B75+B67</f>
        <v>2567.7999999999997</v>
      </c>
      <c r="C99" s="22">
        <f t="shared" si="23"/>
        <v>1064.5</v>
      </c>
      <c r="D99" s="22">
        <f t="shared" si="23"/>
        <v>0</v>
      </c>
      <c r="E99" s="22">
        <f t="shared" si="23"/>
        <v>15</v>
      </c>
      <c r="F99" s="22">
        <f t="shared" si="23"/>
        <v>1.8</v>
      </c>
      <c r="G99" s="22">
        <f t="shared" si="23"/>
        <v>0</v>
      </c>
      <c r="H99" s="22">
        <f t="shared" si="23"/>
        <v>9.1</v>
      </c>
      <c r="I99" s="22">
        <f t="shared" si="23"/>
        <v>0</v>
      </c>
      <c r="J99" s="22">
        <f t="shared" si="23"/>
        <v>133.5</v>
      </c>
      <c r="K99" s="22">
        <f t="shared" si="23"/>
        <v>0</v>
      </c>
      <c r="L99" s="22">
        <f t="shared" si="23"/>
        <v>5.9</v>
      </c>
      <c r="M99" s="22">
        <f t="shared" si="23"/>
        <v>401.9</v>
      </c>
      <c r="N99" s="22">
        <f t="shared" si="23"/>
        <v>41.8</v>
      </c>
      <c r="O99" s="22">
        <f t="shared" si="23"/>
        <v>0</v>
      </c>
      <c r="P99" s="22">
        <f t="shared" si="23"/>
        <v>37.9</v>
      </c>
      <c r="Q99" s="22">
        <f t="shared" si="23"/>
        <v>40</v>
      </c>
      <c r="R99" s="22">
        <f t="shared" si="23"/>
        <v>0</v>
      </c>
      <c r="S99" s="22">
        <f t="shared" si="23"/>
        <v>77.6</v>
      </c>
      <c r="T99" s="22">
        <f t="shared" si="23"/>
        <v>287.6</v>
      </c>
      <c r="U99" s="22">
        <f t="shared" si="23"/>
        <v>108.7</v>
      </c>
      <c r="V99" s="22">
        <f t="shared" si="23"/>
        <v>725.2</v>
      </c>
      <c r="W99" s="22">
        <f t="shared" si="23"/>
        <v>69.7</v>
      </c>
      <c r="X99" s="22">
        <f t="shared" si="23"/>
        <v>0.2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1955.9</v>
      </c>
      <c r="AG99" s="27">
        <f>B99+C99-AF99</f>
        <v>1676.3999999999996</v>
      </c>
    </row>
    <row r="100" spans="1:33" ht="12.75">
      <c r="A100" s="1" t="s">
        <v>41</v>
      </c>
      <c r="B100" s="2">
        <f aca="true" t="shared" si="25" ref="B100:AD100">B94-B95-B96-B97-B98-B99</f>
        <v>42596.800000000025</v>
      </c>
      <c r="C100" s="2">
        <f t="shared" si="25"/>
        <v>30276.6</v>
      </c>
      <c r="D100" s="2">
        <f t="shared" si="25"/>
        <v>9446.6</v>
      </c>
      <c r="E100" s="2">
        <f t="shared" si="25"/>
        <v>4925.599999999999</v>
      </c>
      <c r="F100" s="2">
        <f t="shared" si="25"/>
        <v>1684.3999999999999</v>
      </c>
      <c r="G100" s="2">
        <f t="shared" si="25"/>
        <v>2138.8</v>
      </c>
      <c r="H100" s="2">
        <f t="shared" si="25"/>
        <v>4498.699999999999</v>
      </c>
      <c r="I100" s="2">
        <f t="shared" si="25"/>
        <v>6283.2</v>
      </c>
      <c r="J100" s="2">
        <f t="shared" si="25"/>
        <v>3385.7000000000003</v>
      </c>
      <c r="K100" s="2">
        <f t="shared" si="25"/>
        <v>959.4000000000002</v>
      </c>
      <c r="L100" s="2">
        <f t="shared" si="25"/>
        <v>267.60000000000036</v>
      </c>
      <c r="M100" s="2">
        <f t="shared" si="25"/>
        <v>653.2000000000031</v>
      </c>
      <c r="N100" s="2">
        <f t="shared" si="25"/>
        <v>843.6999999999998</v>
      </c>
      <c r="O100" s="2">
        <f t="shared" si="25"/>
        <v>243.80000000000007</v>
      </c>
      <c r="P100" s="2">
        <f t="shared" si="25"/>
        <v>616.2000000000003</v>
      </c>
      <c r="Q100" s="2">
        <f t="shared" si="25"/>
        <v>1482.2000000000003</v>
      </c>
      <c r="R100" s="2">
        <f t="shared" si="25"/>
        <v>239.7999999999999</v>
      </c>
      <c r="S100" s="2">
        <f t="shared" si="25"/>
        <v>179.1999999999998</v>
      </c>
      <c r="T100" s="2">
        <f t="shared" si="25"/>
        <v>2200.7999999999997</v>
      </c>
      <c r="U100" s="2">
        <f t="shared" si="25"/>
        <v>499.09999999999917</v>
      </c>
      <c r="V100" s="2">
        <f t="shared" si="25"/>
        <v>663.6000000000017</v>
      </c>
      <c r="W100" s="2">
        <f t="shared" si="25"/>
        <v>851.1999999999978</v>
      </c>
      <c r="X100" s="2">
        <f t="shared" si="25"/>
        <v>2949.100000000001</v>
      </c>
      <c r="Y100" s="2">
        <f t="shared" si="25"/>
        <v>809.5000000000001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45821.40000000003</v>
      </c>
      <c r="AG100" s="2">
        <f>AG94-AG95-AG96-AG97-AG98-AG99</f>
        <v>27052.00000000003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48" sqref="E4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77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16950.7</v>
      </c>
      <c r="C7" s="72">
        <v>23995.7</v>
      </c>
      <c r="D7" s="45"/>
      <c r="E7" s="46">
        <v>16950.7</v>
      </c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23995.7</v>
      </c>
      <c r="AG7" s="48"/>
    </row>
    <row r="8" spans="1:55" ht="18" customHeight="1">
      <c r="A8" s="60" t="s">
        <v>34</v>
      </c>
      <c r="B8" s="40">
        <f>SUM(D8:AB8)</f>
        <v>15107</v>
      </c>
      <c r="C8" s="40">
        <v>67280.1</v>
      </c>
      <c r="D8" s="43">
        <v>10501.2</v>
      </c>
      <c r="E8" s="55">
        <v>4605.8</v>
      </c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>
        <v>67280.1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119913.1</v>
      </c>
      <c r="C9" s="24">
        <f t="shared" si="0"/>
        <v>78315.6</v>
      </c>
      <c r="D9" s="24">
        <f t="shared" si="0"/>
        <v>10501.2</v>
      </c>
      <c r="E9" s="24">
        <f t="shared" si="0"/>
        <v>2545.3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13046.5</v>
      </c>
      <c r="AG9" s="50">
        <f>AG10+AG15+AG24+AG33+AG47+AG52+AG54+AG61+AG62+AG71+AG72+AG76+AG88+AG81+AG83+AG82+AG69+AG89+AG91+AG90+AG70+AG40+AG92</f>
        <v>185182.19999999998</v>
      </c>
      <c r="AH9" s="49"/>
      <c r="AI9" s="49"/>
    </row>
    <row r="10" spans="1:33" ht="15.75">
      <c r="A10" s="4" t="s">
        <v>4</v>
      </c>
      <c r="B10" s="22">
        <v>5873.5</v>
      </c>
      <c r="C10" s="22">
        <v>3724.3</v>
      </c>
      <c r="D10" s="22"/>
      <c r="E10" s="22">
        <v>18.3</v>
      </c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18.3</v>
      </c>
      <c r="AG10" s="27">
        <f>B10+C10-AF10</f>
        <v>9579.5</v>
      </c>
    </row>
    <row r="11" spans="1:33" ht="15.75">
      <c r="A11" s="3" t="s">
        <v>5</v>
      </c>
      <c r="B11" s="22">
        <v>5307</v>
      </c>
      <c r="C11" s="22">
        <v>1688.5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6995.5</v>
      </c>
    </row>
    <row r="12" spans="1:33" ht="15.75">
      <c r="A12" s="3" t="s">
        <v>2</v>
      </c>
      <c r="B12" s="36">
        <v>191.4</v>
      </c>
      <c r="C12" s="22">
        <v>363.9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555.3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375.1</v>
      </c>
      <c r="C14" s="22">
        <f t="shared" si="2"/>
        <v>1671.9</v>
      </c>
      <c r="D14" s="22">
        <f t="shared" si="2"/>
        <v>0</v>
      </c>
      <c r="E14" s="22">
        <f t="shared" si="2"/>
        <v>18.3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18.3</v>
      </c>
      <c r="AG14" s="27">
        <f>AG10-AG11-AG12-AG13</f>
        <v>2028.7</v>
      </c>
    </row>
    <row r="15" spans="1:33" ht="15" customHeight="1">
      <c r="A15" s="4" t="s">
        <v>6</v>
      </c>
      <c r="B15" s="22">
        <v>43565.4</v>
      </c>
      <c r="C15" s="22">
        <v>39747.1</v>
      </c>
      <c r="D15" s="44"/>
      <c r="E15" s="44">
        <v>177.3</v>
      </c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177.3</v>
      </c>
      <c r="AG15" s="27">
        <f aca="true" t="shared" si="3" ref="AG15:AG31">B15+C15-AF15</f>
        <v>83135.2</v>
      </c>
    </row>
    <row r="16" spans="1:34" s="70" customFormat="1" ht="15" customHeight="1">
      <c r="A16" s="65" t="s">
        <v>46</v>
      </c>
      <c r="B16" s="66">
        <v>16304.9</v>
      </c>
      <c r="C16" s="66">
        <v>13877.7</v>
      </c>
      <c r="D16" s="67"/>
      <c r="E16" s="67">
        <v>177.3</v>
      </c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177.3</v>
      </c>
      <c r="AG16" s="71">
        <f t="shared" si="3"/>
        <v>30005.3</v>
      </c>
      <c r="AH16" s="75"/>
    </row>
    <row r="17" spans="1:34" ht="15.75">
      <c r="A17" s="3" t="s">
        <v>5</v>
      </c>
      <c r="B17" s="22">
        <v>28315.9</v>
      </c>
      <c r="C17" s="22">
        <v>3070.2</v>
      </c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0</v>
      </c>
      <c r="AG17" s="27">
        <f t="shared" si="3"/>
        <v>31386.100000000002</v>
      </c>
      <c r="AH17" s="6"/>
    </row>
    <row r="18" spans="1:33" ht="15.75">
      <c r="A18" s="3" t="s">
        <v>3</v>
      </c>
      <c r="B18" s="22">
        <v>3.3</v>
      </c>
      <c r="C18" s="22">
        <v>16.8</v>
      </c>
      <c r="D18" s="22"/>
      <c r="E18" s="22">
        <v>1.7</v>
      </c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1.7</v>
      </c>
      <c r="AG18" s="27">
        <f t="shared" si="3"/>
        <v>18.400000000000002</v>
      </c>
    </row>
    <row r="19" spans="1:33" ht="15.75">
      <c r="A19" s="3" t="s">
        <v>1</v>
      </c>
      <c r="B19" s="22">
        <v>2059.8</v>
      </c>
      <c r="C19" s="22">
        <v>4302.8</v>
      </c>
      <c r="D19" s="22"/>
      <c r="E19" s="22">
        <v>0.3</v>
      </c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0.3</v>
      </c>
      <c r="AG19" s="27">
        <f t="shared" si="3"/>
        <v>6362.3</v>
      </c>
    </row>
    <row r="20" spans="1:33" ht="15.75">
      <c r="A20" s="3" t="s">
        <v>2</v>
      </c>
      <c r="B20" s="22">
        <v>10781.6</v>
      </c>
      <c r="C20" s="22">
        <v>26084.3</v>
      </c>
      <c r="D20" s="22"/>
      <c r="E20" s="22">
        <v>168.9</v>
      </c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168.9</v>
      </c>
      <c r="AG20" s="27">
        <f t="shared" si="3"/>
        <v>36697</v>
      </c>
    </row>
    <row r="21" spans="1:33" ht="15.75">
      <c r="A21" s="3" t="s">
        <v>17</v>
      </c>
      <c r="B21" s="22">
        <v>1409.6</v>
      </c>
      <c r="C21" s="22">
        <v>439.7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1849.3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995.2000000000012</v>
      </c>
      <c r="C23" s="22">
        <f t="shared" si="4"/>
        <v>5833.3</v>
      </c>
      <c r="D23" s="22">
        <f t="shared" si="4"/>
        <v>0</v>
      </c>
      <c r="E23" s="22">
        <f t="shared" si="4"/>
        <v>6.400000000000006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6.400000000000006</v>
      </c>
      <c r="AG23" s="27">
        <f t="shared" si="3"/>
        <v>6822.100000000002</v>
      </c>
    </row>
    <row r="24" spans="1:33" ht="15" customHeight="1">
      <c r="A24" s="4" t="s">
        <v>7</v>
      </c>
      <c r="B24" s="22">
        <v>21416.6</v>
      </c>
      <c r="C24" s="22">
        <v>16025.6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37442.2</v>
      </c>
    </row>
    <row r="25" spans="1:34" s="70" customFormat="1" ht="15" customHeight="1">
      <c r="A25" s="65" t="s">
        <v>47</v>
      </c>
      <c r="B25" s="66">
        <v>17596.4</v>
      </c>
      <c r="C25" s="66">
        <v>9981.8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27578.2</v>
      </c>
      <c r="AH25" s="75"/>
    </row>
    <row r="26" spans="1:34" ht="15.75">
      <c r="A26" s="3" t="s">
        <v>5</v>
      </c>
      <c r="B26" s="22">
        <v>15456.2</v>
      </c>
      <c r="C26" s="22">
        <v>2114.8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17571</v>
      </c>
      <c r="AH26" s="6"/>
    </row>
    <row r="27" spans="1:33" ht="15.75">
      <c r="A27" s="3" t="s">
        <v>3</v>
      </c>
      <c r="B27" s="22">
        <v>916.8</v>
      </c>
      <c r="C27" s="22">
        <v>1381.3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2298.1</v>
      </c>
    </row>
    <row r="28" spans="1:33" ht="15.75">
      <c r="A28" s="3" t="s">
        <v>1</v>
      </c>
      <c r="B28" s="22">
        <v>370.7</v>
      </c>
      <c r="C28" s="22">
        <v>118.3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489</v>
      </c>
    </row>
    <row r="29" spans="1:33" ht="15.75">
      <c r="A29" s="3" t="s">
        <v>2</v>
      </c>
      <c r="B29" s="22">
        <v>4152.6</v>
      </c>
      <c r="C29" s="22">
        <v>5620.4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9773</v>
      </c>
    </row>
    <row r="30" spans="1:33" ht="15.75">
      <c r="A30" s="3" t="s">
        <v>17</v>
      </c>
      <c r="B30" s="22">
        <v>105.1</v>
      </c>
      <c r="C30" s="22">
        <v>52.1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157.2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415.19999999999743</v>
      </c>
      <c r="C32" s="22">
        <f t="shared" si="5"/>
        <v>6738.700000000001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7153.899999999999</v>
      </c>
    </row>
    <row r="33" spans="1:33" ht="15" customHeight="1">
      <c r="A33" s="4" t="s">
        <v>8</v>
      </c>
      <c r="B33" s="22">
        <v>270.3</v>
      </c>
      <c r="C33" s="22">
        <v>670.5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940.8</v>
      </c>
    </row>
    <row r="34" spans="1:33" ht="15.75">
      <c r="A34" s="3" t="s">
        <v>5</v>
      </c>
      <c r="B34" s="22">
        <v>132.3</v>
      </c>
      <c r="C34" s="22">
        <v>26.9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159.20000000000002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95</v>
      </c>
      <c r="C36" s="22">
        <v>293.5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388.5</v>
      </c>
    </row>
    <row r="37" spans="1:33" ht="15.75">
      <c r="A37" s="3" t="s">
        <v>17</v>
      </c>
      <c r="B37" s="22">
        <v>0</v>
      </c>
      <c r="C37" s="22">
        <v>16.3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16.3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43</v>
      </c>
      <c r="C39" s="22">
        <f t="shared" si="7"/>
        <v>333.7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376.6999999999999</v>
      </c>
    </row>
    <row r="40" spans="1:33" ht="15" customHeight="1">
      <c r="A40" s="4" t="s">
        <v>33</v>
      </c>
      <c r="B40" s="22">
        <v>760.4</v>
      </c>
      <c r="C40" s="22">
        <v>242.8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1003.2</v>
      </c>
    </row>
    <row r="41" spans="1:34" ht="15.75">
      <c r="A41" s="3" t="s">
        <v>5</v>
      </c>
      <c r="B41" s="22">
        <v>576.3</v>
      </c>
      <c r="C41" s="22">
        <v>64.1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640.4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14.3</v>
      </c>
      <c r="C43" s="22">
        <v>8.5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22.8</v>
      </c>
    </row>
    <row r="44" spans="1:33" ht="15.75">
      <c r="A44" s="3" t="s">
        <v>2</v>
      </c>
      <c r="B44" s="22">
        <v>138.9</v>
      </c>
      <c r="C44" s="22">
        <v>131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269.9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30.900000000000006</v>
      </c>
      <c r="C46" s="22">
        <f t="shared" si="10"/>
        <v>39.20000000000002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70.10000000000008</v>
      </c>
    </row>
    <row r="47" spans="1:33" ht="17.25" customHeight="1">
      <c r="A47" s="4" t="s">
        <v>70</v>
      </c>
      <c r="B47" s="36">
        <v>974.5</v>
      </c>
      <c r="C47" s="22">
        <v>1313.9</v>
      </c>
      <c r="D47" s="22"/>
      <c r="E47" s="28">
        <f>28.2+14.1</f>
        <v>42.3</v>
      </c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42.3</v>
      </c>
      <c r="AG47" s="27">
        <f>B47+C47-AF47</f>
        <v>2246.1</v>
      </c>
    </row>
    <row r="48" spans="1:33" ht="15.75">
      <c r="A48" s="3" t="s">
        <v>5</v>
      </c>
      <c r="B48" s="22">
        <v>31.9</v>
      </c>
      <c r="C48" s="22">
        <v>23.3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55.2</v>
      </c>
    </row>
    <row r="49" spans="1:33" ht="15.75">
      <c r="A49" s="3" t="s">
        <v>17</v>
      </c>
      <c r="B49" s="22">
        <v>869.3</v>
      </c>
      <c r="C49" s="22">
        <v>962.2</v>
      </c>
      <c r="D49" s="22"/>
      <c r="E49" s="22">
        <v>28.1</v>
      </c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28.1</v>
      </c>
      <c r="AG49" s="27">
        <f>B49+C49-AF49</f>
        <v>1803.4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73.30000000000007</v>
      </c>
      <c r="C51" s="22">
        <f t="shared" si="11"/>
        <v>328.4000000000001</v>
      </c>
      <c r="D51" s="22">
        <f t="shared" si="11"/>
        <v>0</v>
      </c>
      <c r="E51" s="22">
        <f t="shared" si="11"/>
        <v>14.199999999999996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14.199999999999996</v>
      </c>
      <c r="AG51" s="27">
        <f>AG47-AG49-AG48</f>
        <v>387.49999999999983</v>
      </c>
    </row>
    <row r="52" spans="1:33" ht="15" customHeight="1">
      <c r="A52" s="4" t="s">
        <v>0</v>
      </c>
      <c r="B52" s="22">
        <v>6549.8</v>
      </c>
      <c r="C52" s="22">
        <v>2724</v>
      </c>
      <c r="D52" s="22">
        <v>854</v>
      </c>
      <c r="E52" s="22">
        <v>1070.6</v>
      </c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1924.6</v>
      </c>
      <c r="AG52" s="27">
        <f aca="true" t="shared" si="12" ref="AG52:AG59">B52+C52-AF52</f>
        <v>7349.199999999999</v>
      </c>
    </row>
    <row r="53" spans="1:33" ht="15" customHeight="1">
      <c r="A53" s="3" t="s">
        <v>2</v>
      </c>
      <c r="B53" s="22">
        <v>1113.4</v>
      </c>
      <c r="C53" s="22">
        <v>1288.2</v>
      </c>
      <c r="D53" s="22"/>
      <c r="E53" s="22">
        <v>722.1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722.1</v>
      </c>
      <c r="AG53" s="27">
        <f t="shared" si="12"/>
        <v>1679.5000000000005</v>
      </c>
    </row>
    <row r="54" spans="1:34" ht="15" customHeight="1">
      <c r="A54" s="4" t="s">
        <v>9</v>
      </c>
      <c r="B54" s="44">
        <v>4829.3</v>
      </c>
      <c r="C54" s="22">
        <v>3340.7</v>
      </c>
      <c r="D54" s="22"/>
      <c r="E54" s="22">
        <v>56.8</v>
      </c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56.8</v>
      </c>
      <c r="AG54" s="22">
        <f t="shared" si="12"/>
        <v>8113.2</v>
      </c>
      <c r="AH54" s="6"/>
    </row>
    <row r="55" spans="1:34" ht="15.75">
      <c r="A55" s="3" t="s">
        <v>5</v>
      </c>
      <c r="B55" s="22">
        <v>3435.1</v>
      </c>
      <c r="C55" s="22">
        <v>744.1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4179.2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614.8</v>
      </c>
      <c r="C57" s="22">
        <v>1293.2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1908</v>
      </c>
    </row>
    <row r="58" spans="1:33" ht="15.75">
      <c r="A58" s="3" t="s">
        <v>17</v>
      </c>
      <c r="B58" s="36">
        <v>5.1</v>
      </c>
      <c r="C58" s="22">
        <v>0.6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5.699999999999999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774.3000000000003</v>
      </c>
      <c r="C60" s="22">
        <f t="shared" si="13"/>
        <v>1302.8</v>
      </c>
      <c r="D60" s="22">
        <f t="shared" si="13"/>
        <v>0</v>
      </c>
      <c r="E60" s="22">
        <f t="shared" si="13"/>
        <v>56.8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56.8</v>
      </c>
      <c r="AG60" s="22">
        <f>AG54-AG55-AG57-AG59-AG56-AG58</f>
        <v>2020.3</v>
      </c>
    </row>
    <row r="61" spans="1:33" ht="15" customHeight="1">
      <c r="A61" s="4" t="s">
        <v>10</v>
      </c>
      <c r="B61" s="22">
        <v>124.3</v>
      </c>
      <c r="C61" s="22">
        <v>215.4</v>
      </c>
      <c r="D61" s="22"/>
      <c r="E61" s="22">
        <v>17.7</v>
      </c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17.7</v>
      </c>
      <c r="AG61" s="22">
        <f aca="true" t="shared" si="15" ref="AG61:AG67">B61+C61-AF61</f>
        <v>322</v>
      </c>
    </row>
    <row r="62" spans="1:33" ht="15" customHeight="1">
      <c r="A62" s="4" t="s">
        <v>11</v>
      </c>
      <c r="B62" s="22">
        <v>1557.7</v>
      </c>
      <c r="C62" s="22">
        <v>2066.2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3623.8999999999996</v>
      </c>
    </row>
    <row r="63" spans="1:34" ht="15.75">
      <c r="A63" s="3" t="s">
        <v>5</v>
      </c>
      <c r="B63" s="22">
        <v>1012.9</v>
      </c>
      <c r="C63" s="22">
        <v>226.4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1239.3</v>
      </c>
      <c r="AH63" s="64"/>
    </row>
    <row r="64" spans="1:34" ht="15.75">
      <c r="A64" s="3" t="s">
        <v>3</v>
      </c>
      <c r="B64" s="22">
        <v>3</v>
      </c>
      <c r="C64" s="22">
        <v>6.1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9.1</v>
      </c>
      <c r="AH64" s="6"/>
    </row>
    <row r="65" spans="1:34" ht="15.75">
      <c r="A65" s="3" t="s">
        <v>1</v>
      </c>
      <c r="B65" s="22">
        <v>16.6</v>
      </c>
      <c r="C65" s="22">
        <v>42.1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58.7</v>
      </c>
      <c r="AH65" s="6"/>
    </row>
    <row r="66" spans="1:33" ht="15.75">
      <c r="A66" s="3" t="s">
        <v>2</v>
      </c>
      <c r="B66" s="22">
        <v>140.4</v>
      </c>
      <c r="C66" s="22">
        <v>339.8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480.20000000000005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384.80000000000007</v>
      </c>
      <c r="C68" s="22">
        <f t="shared" si="16"/>
        <v>1411.8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1796.5999999999995</v>
      </c>
    </row>
    <row r="69" spans="1:33" ht="31.5">
      <c r="A69" s="4" t="s">
        <v>32</v>
      </c>
      <c r="B69" s="22">
        <v>2185.3</v>
      </c>
      <c r="C69" s="22">
        <v>0.1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2185.4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1447.8</v>
      </c>
      <c r="C72" s="22">
        <v>1933.5</v>
      </c>
      <c r="D72" s="22"/>
      <c r="E72" s="22">
        <v>140.6</v>
      </c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140.6</v>
      </c>
      <c r="AG72" s="30">
        <f t="shared" si="17"/>
        <v>3240.7000000000003</v>
      </c>
    </row>
    <row r="73" spans="1:33" ht="15" customHeight="1">
      <c r="A73" s="3" t="s">
        <v>5</v>
      </c>
      <c r="B73" s="22">
        <v>18.9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18.9</v>
      </c>
    </row>
    <row r="74" spans="1:33" ht="15" customHeight="1">
      <c r="A74" s="3" t="s">
        <v>2</v>
      </c>
      <c r="B74" s="22">
        <v>150.4</v>
      </c>
      <c r="C74" s="22">
        <v>328.1</v>
      </c>
      <c r="D74" s="22"/>
      <c r="E74" s="22">
        <v>124.7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124.7</v>
      </c>
      <c r="AG74" s="30">
        <f t="shared" si="17"/>
        <v>353.8</v>
      </c>
    </row>
    <row r="75" spans="1:33" ht="15" customHeight="1">
      <c r="A75" s="3" t="s">
        <v>17</v>
      </c>
      <c r="B75" s="22">
        <v>118.3</v>
      </c>
      <c r="C75" s="22">
        <v>165.5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283.8</v>
      </c>
    </row>
    <row r="76" spans="1:33" s="11" customFormat="1" ht="31.5">
      <c r="A76" s="12" t="s">
        <v>21</v>
      </c>
      <c r="B76" s="22">
        <v>393.3</v>
      </c>
      <c r="C76" s="22">
        <v>215.7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609</v>
      </c>
    </row>
    <row r="77" spans="1:33" s="11" customFormat="1" ht="15.75">
      <c r="A77" s="3" t="s">
        <v>5</v>
      </c>
      <c r="B77" s="22">
        <v>73.2</v>
      </c>
      <c r="C77" s="22">
        <v>4.4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77.60000000000001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15.4</v>
      </c>
    </row>
    <row r="81" spans="1:33" s="11" customFormat="1" ht="15.75">
      <c r="A81" s="12" t="s">
        <v>36</v>
      </c>
      <c r="B81" s="22">
        <v>69.2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206.8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25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25</v>
      </c>
    </row>
    <row r="84" spans="1:33" s="11" customFormat="1" ht="15.75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>
      <c r="A88" s="4" t="s">
        <v>73</v>
      </c>
      <c r="B88" s="22">
        <v>0</v>
      </c>
      <c r="C88" s="22">
        <v>600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600</v>
      </c>
      <c r="AH88" s="11"/>
    </row>
    <row r="89" spans="1:34" ht="15.75">
      <c r="A89" s="4" t="s">
        <v>45</v>
      </c>
      <c r="B89" s="22">
        <v>4721.7</v>
      </c>
      <c r="C89" s="22">
        <v>4026.9</v>
      </c>
      <c r="D89" s="22">
        <v>204.5</v>
      </c>
      <c r="E89" s="22">
        <v>1021.7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1226.2</v>
      </c>
      <c r="AG89" s="22">
        <f t="shared" si="17"/>
        <v>7522.400000000001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41.5</v>
      </c>
      <c r="C91" s="22">
        <v>996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1037.5</v>
      </c>
      <c r="AH91" s="11"/>
    </row>
    <row r="92" spans="1:34" ht="15.75">
      <c r="A92" s="4" t="s">
        <v>44</v>
      </c>
      <c r="B92" s="22">
        <v>22690.7</v>
      </c>
      <c r="C92" s="22">
        <v>335.3</v>
      </c>
      <c r="D92" s="22">
        <v>9442.7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9442.7</v>
      </c>
      <c r="AG92" s="22">
        <f t="shared" si="17"/>
        <v>13583.3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119913.1</v>
      </c>
      <c r="C94" s="42">
        <f t="shared" si="18"/>
        <v>78315.6</v>
      </c>
      <c r="D94" s="42">
        <f t="shared" si="18"/>
        <v>10501.2</v>
      </c>
      <c r="E94" s="42">
        <f t="shared" si="18"/>
        <v>2545.3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13046.5</v>
      </c>
      <c r="AG94" s="58">
        <f>AG10+AG15+AG24+AG33+AG47+AG52+AG54+AG61+AG62+AG69+AG71+AG72+AG76+AG81+AG82+AG83+AG88+AG89+AG90+AG91+AG70+AG40+AG92</f>
        <v>185182.19999999998</v>
      </c>
    </row>
    <row r="95" spans="1:33" ht="15.75">
      <c r="A95" s="3" t="s">
        <v>5</v>
      </c>
      <c r="B95" s="22">
        <f aca="true" t="shared" si="19" ref="B95:AD95">B11+B17+B26+B34+B55+B63+B73+B41+B77+B48</f>
        <v>54359.70000000001</v>
      </c>
      <c r="C95" s="22">
        <f t="shared" si="19"/>
        <v>7962.7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0</v>
      </c>
      <c r="AG95" s="27">
        <f>B95+C95-AF95</f>
        <v>62322.40000000001</v>
      </c>
    </row>
    <row r="96" spans="1:33" ht="15.75">
      <c r="A96" s="3" t="s">
        <v>2</v>
      </c>
      <c r="B96" s="22">
        <f aca="true" t="shared" si="20" ref="B96:AD96">B12+B20+B29+B36+B57+B66+B44+B80+B74+B53</f>
        <v>17387.8</v>
      </c>
      <c r="C96" s="22">
        <f t="shared" si="20"/>
        <v>35748.49999999999</v>
      </c>
      <c r="D96" s="22">
        <f t="shared" si="20"/>
        <v>0</v>
      </c>
      <c r="E96" s="22">
        <f t="shared" si="20"/>
        <v>1015.7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1015.7</v>
      </c>
      <c r="AG96" s="27">
        <f>B96+C96-AF96</f>
        <v>52120.59999999999</v>
      </c>
    </row>
    <row r="97" spans="1:33" ht="15.75">
      <c r="A97" s="3" t="s">
        <v>3</v>
      </c>
      <c r="B97" s="22">
        <f aca="true" t="shared" si="21" ref="B97:AA97">B18+B27+B42+B64+B78</f>
        <v>923.0999999999999</v>
      </c>
      <c r="C97" s="22">
        <f t="shared" si="21"/>
        <v>1404.1999999999998</v>
      </c>
      <c r="D97" s="22">
        <f t="shared" si="21"/>
        <v>0</v>
      </c>
      <c r="E97" s="22">
        <f t="shared" si="21"/>
        <v>1.7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1.7</v>
      </c>
      <c r="AG97" s="27">
        <f>B97+C97-AF97</f>
        <v>2325.6</v>
      </c>
    </row>
    <row r="98" spans="1:33" ht="15.75">
      <c r="A98" s="3" t="s">
        <v>1</v>
      </c>
      <c r="B98" s="22">
        <f aca="true" t="shared" si="22" ref="B98:AD98">B19+B28+B65+B35+B43+B56+B79</f>
        <v>2461.4</v>
      </c>
      <c r="C98" s="22">
        <f t="shared" si="22"/>
        <v>4471.800000000001</v>
      </c>
      <c r="D98" s="22">
        <f t="shared" si="22"/>
        <v>0</v>
      </c>
      <c r="E98" s="22">
        <f t="shared" si="22"/>
        <v>0.3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0.3</v>
      </c>
      <c r="AG98" s="27">
        <f>B98+C98-AF98</f>
        <v>6932.900000000001</v>
      </c>
    </row>
    <row r="99" spans="1:33" ht="15.75">
      <c r="A99" s="3" t="s">
        <v>17</v>
      </c>
      <c r="B99" s="22">
        <f aca="true" t="shared" si="23" ref="B99:X99">B21+B30+B49+B37+B58+B13+B75+B67</f>
        <v>2507.4</v>
      </c>
      <c r="C99" s="22">
        <f t="shared" si="23"/>
        <v>1676.3999999999999</v>
      </c>
      <c r="D99" s="22">
        <f t="shared" si="23"/>
        <v>0</v>
      </c>
      <c r="E99" s="22">
        <f t="shared" si="23"/>
        <v>28.1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28.1</v>
      </c>
      <c r="AG99" s="27">
        <f>B99+C99-AF99</f>
        <v>4155.7</v>
      </c>
    </row>
    <row r="100" spans="1:33" ht="12.75">
      <c r="A100" s="1" t="s">
        <v>41</v>
      </c>
      <c r="B100" s="2">
        <f aca="true" t="shared" si="25" ref="B100:AD100">B94-B95-B96-B97-B98-B99</f>
        <v>42273.69999999999</v>
      </c>
      <c r="C100" s="2">
        <f t="shared" si="25"/>
        <v>27052.000000000015</v>
      </c>
      <c r="D100" s="2">
        <f t="shared" si="25"/>
        <v>10501.2</v>
      </c>
      <c r="E100" s="2">
        <f t="shared" si="25"/>
        <v>1499.5000000000002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12000.699999999999</v>
      </c>
      <c r="AG100" s="2">
        <f>AG94-AG95-AG96-AG97-AG98-AG99</f>
        <v>57324.99999999998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2016-11-30T07:30:09Z</cp:lastPrinted>
  <dcterms:created xsi:type="dcterms:W3CDTF">2002-11-05T08:53:00Z</dcterms:created>
  <dcterms:modified xsi:type="dcterms:W3CDTF">2016-12-05T06:08:42Z</dcterms:modified>
  <cp:category/>
  <cp:version/>
  <cp:contentType/>
  <cp:contentStatus/>
</cp:coreProperties>
</file>